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workbookProtection workbookPassword="E31B"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28" i="6" s="1"/>
  <c r="B48" i="6"/>
  <c r="B43" i="6"/>
  <c r="B3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C13" i="6"/>
  <c r="C11" i="6"/>
  <c r="C10" i="6"/>
  <c r="C9" i="6"/>
  <c r="C8" i="6"/>
  <c r="C7" i="6"/>
  <c r="C5"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H26" i="6" s="1"/>
  <c r="C26" i="6" s="1"/>
  <c r="B36" i="6"/>
  <c r="B46" i="6"/>
  <c r="G46" i="6" s="1"/>
  <c r="G31" i="6"/>
  <c r="H22" i="6"/>
  <c r="D22" i="6" s="1"/>
  <c r="G47" i="6"/>
  <c r="G42" i="6"/>
  <c r="K65" i="6"/>
  <c r="C65" i="6" s="1"/>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7" i="6" l="1"/>
  <c r="H37" i="6"/>
  <c r="F36" i="6"/>
  <c r="F63" i="6"/>
  <c r="H36" i="6"/>
  <c r="C36" i="6" s="1"/>
  <c r="H25" i="6"/>
  <c r="C25" i="6" s="1"/>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<sst xmlns="http://schemas.openxmlformats.org/spreadsheetml/2006/main" count="21621" uniqueCount="15505">
  <si>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</si>
  <si>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</si>
  <si>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</si>
  <si>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</si>
  <si>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</si>
  <si>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</si>
  <si>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</si>
  <si>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</si>
  <si>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</si>
  <si>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</si>
  <si>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</si>
  <si>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</si>
  <si>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</si>
  <si>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</si>
  <si>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</si>
  <si>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</si>
  <si>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</si>
  <si>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</si>
  <si>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</si>
  <si>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</si>
  <si>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</si>
  <si>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</si>
  <si>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</si>
  <si>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</si>
  <si>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</si>
  <si>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</si>
  <si>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</si>
  <si>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</si>
  <si>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</si>
  <si>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</si>
  <si>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</si>
  <si>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</si>
  <si>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</si>
  <si>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</si>
  <si>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</si>
  <si>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</si>
  <si>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</si>
  <si>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</si>
  <si>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</si>
  <si>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</si>
  <si>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</si>
  <si>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</si>
  <si>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</si>
  <si>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</si>
  <si>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</si>
  <si>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</si>
  <si>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</si>
  <si>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</si>
  <si>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</si>
  <si>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</si>
  <si>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</si>
  <si>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</si>
  <si>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</si>
  <si>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</si>
  <si>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</si>
  <si>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</si>
  <si>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</si>
  <si>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</si>
  <si>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</si>
  <si>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</si>
  <si>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</si>
  <si>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</si>
  <si>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</si>
  <si>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</si>
  <si>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</si>
  <si>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</si>
  <si>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</si>
  <si>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</si>
  <si>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</si>
  <si>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</si>
  <si>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</si>
  <si>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</si>
  <si>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</si>
  <si>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</si>
  <si>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</si>
  <si>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</si>
  <si>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</si>
  <si>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</si>
  <si>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</si>
  <si>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</si>
  <si>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</si>
  <si>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</si>
  <si>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</si>
  <si>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</si>
  <si>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</si>
  <si>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</si>
  <si>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</si>
  <si>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</si>
  <si>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</si>
  <si>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</si>
  <si>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</si>
  <si>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</si>
  <si>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</si>
  <si>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</si>
  <si>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</si>
  <si>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</si>
  <si>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</si>
  <si>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</si>
  <si>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</si>
  <si>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</si>
  <si>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</si>
  <si>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</si>
  <si>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</si>
  <si>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</si>
  <si>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</si>
  <si>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</si>
  <si>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</si>
  <si>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</si>
  <si>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</si>
  <si>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</si>
  <si>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</si>
  <si>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</si>
  <si>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</si>
  <si>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</si>
  <si>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</si>
  <si>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</si>
  <si>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</si>
  <si>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</si>
  <si>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</si>
  <si>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</si>
  <si>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</si>
  <si>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</si>
  <si>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</si>
  <si>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</si>
  <si>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</si>
  <si>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</si>
  <si>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</si>
  <si>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</si>
  <si>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</si>
  <si>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</si>
  <si>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</si>
  <si>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</si>
  <si>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</si>
  <si>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</si>
  <si>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</si>
  <si>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</si>
  <si>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</si>
  <si>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</si>
  <si>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</si>
  <si>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</si>
  <si>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</si>
  <si>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</si>
  <si>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</si>
  <si>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</si>
  <si>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</si>
  <si>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</si>
  <si>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</si>
  <si>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</si>
  <si>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</si>
  <si>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</si>
  <si>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</si>
  <si>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</si>
  <si>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</si>
  <si>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</si>
  <si>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</si>
  <si>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</si>
  <si>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</si>
  <si>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</si>
  <si>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</si>
  <si>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</si>
  <si>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</si>
  <si>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</si>
  <si>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</si>
  <si>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</si>
  <si>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</si>
  <si>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</si>
  <si>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</si>
  <si>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</si>
  <si>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</si>
  <si>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</si>
  <si>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</si>
  <si>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</si>
  <si>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</si>
  <si>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</si>
  <si>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</si>
  <si>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</si>
  <si>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</si>
  <si>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</si>
  <si>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</si>
  <si>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</si>
  <si>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</si>
  <si>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</si>
  <si>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</si>
  <si>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</si>
  <si>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</si>
  <si>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</si>
  <si>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</si>
  <si>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</si>
  <si>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</si>
  <si>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</si>
  <si>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</si>
  <si>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</si>
  <si>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</si>
  <si>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</si>
  <si>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</si>
  <si>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</si>
  <si>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</si>
  <si>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</si>
  <si>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</si>
  <si>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</si>
  <si>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</si>
  <si>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</si>
  <si>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</si>
  <si>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</si>
  <si>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</si>
  <si>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</si>
  <si>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</si>
  <si>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</si>
  <si>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</si>
  <si>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</si>
  <si>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</si>
  <si>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</si>
  <si>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</si>
  <si>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</si>
  <si>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</si>
  <si>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</si>
  <si>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</si>
  <si>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</si>
  <si>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</si>
  <si>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</si>
  <si>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</si>
  <si>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</si>
  <si>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</si>
  <si>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</si>
  <si>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</si>
  <si>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</si>
  <si>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</si>
  <si>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</si>
  <si>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</si>
  <si>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</si>
  <si>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</si>
  <si>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</si>
  <si>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</si>
  <si>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</si>
  <si>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</si>
  <si>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</si>
  <si>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</si>
  <si>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</si>
  <si>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</si>
  <si>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</si>
  <si>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</si>
  <si>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</si>
  <si>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</si>
  <si>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</si>
  <si>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</si>
  <si>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</si>
  <si>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</si>
  <si>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</si>
  <si>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</si>
  <si>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</si>
  <si>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</si>
  <si>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</si>
  <si>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</si>
  <si>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</si>
  <si>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</si>
  <si>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</si>
  <si>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</si>
  <si>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</si>
  <si>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</si>
  <si>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</si>
  <si>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</si>
  <si>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</si>
  <si>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</si>
  <si>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</si>
  <si>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</si>
  <si>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</si>
  <si>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</si>
  <si>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</si>
  <si>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</si>
  <si>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</si>
  <si>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</si>
  <si>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</si>
  <si>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</si>
  <si>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</si>
  <si>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</si>
  <si>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</si>
  <si>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</si>
  <si>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</si>
  <si>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</si>
  <si>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</si>
  <si>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</si>
  <si>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</si>
  <si>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</si>
  <si>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</si>
  <si>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</si>
  <si>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</si>
  <si>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</si>
  <si>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</si>
  <si>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</si>
  <si>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</si>
  <si>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</si>
  <si>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</si>
  <si>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</si>
  <si>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</si>
  <si>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</si>
  <si>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</si>
  <si>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</si>
  <si>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</si>
  <si>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</si>
  <si>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</si>
  <si>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</si>
  <si>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</si>
  <si>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</si>
  <si>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</si>
  <si>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</si>
  <si>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</si>
  <si>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</si>
  <si>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</si>
  <si>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</si>
  <si>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</si>
  <si>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</si>
  <si>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</si>
  <si>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</si>
  <si>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</si>
  <si>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</si>
  <si>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</si>
  <si>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</si>
  <si>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</si>
  <si>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</si>
  <si>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</si>
  <si>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</si>
  <si>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</si>
  <si>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</si>
  <si>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</si>
  <si>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</si>
  <si>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</si>
  <si>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</si>
  <si>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</si>
  <si>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</si>
  <si>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</si>
  <si>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</si>
  <si>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</si>
  <si>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</si>
  <si>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</si>
  <si>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</si>
  <si>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</si>
  <si>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</si>
  <si>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</si>
  <si>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</si>
  <si>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</si>
  <si>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</si>
  <si>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</si>
  <si>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</si>
  <si>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</si>
  <si>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</si>
  <si>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</si>
  <si>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</si>
  <si>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</si>
  <si>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</si>
  <si>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</si>
  <si>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</si>
  <si>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</si>
  <si>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</si>
  <si>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</si>
  <si>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</si>
  <si>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</si>
  <si>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</si>
  <si>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</si>
  <si>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</si>
  <si>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</si>
  <si>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</si>
  <si>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</si>
  <si>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</si>
  <si>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</si>
  <si>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</si>
  <si>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</si>
  <si>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</si>
  <si>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</si>
  <si>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</si>
  <si>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</si>
  <si>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</si>
  <si>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</si>
  <si>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</si>
  <si>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</si>
  <si>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</si>
  <si>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</si>
  <si>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</si>
  <si>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</si>
  <si>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</si>
  <si>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</si>
  <si>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</si>
  <si>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</si>
  <si>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</si>
  <si>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</si>
  <si>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</si>
  <si>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</si>
  <si>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</si>
  <si>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</si>
  <si>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</si>
  <si>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</si>
  <si>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</si>
  <si>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</si>
  <si>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</si>
  <si>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</si>
  <si>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</si>
  <si>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</si>
  <si>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</si>
  <si>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</si>
  <si>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</si>
  <si>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</si>
  <si>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</si>
  <si>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</si>
  <si>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</si>
  <si>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</si>
  <si>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</si>
  <si>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</si>
  <si>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</si>
  <si>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</si>
  <si>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</si>
  <si>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</si>
  <si>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</si>
  <si>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</si>
  <si>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</si>
  <si>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</si>
  <si>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</si>
  <si>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</si>
  <si>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</si>
  <si>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</si>
  <si>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</si>
  <si>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</si>
  <si>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</si>
  <si>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</si>
  <si>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</si>
  <si>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</si>
  <si>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</si>
  <si>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</si>
  <si>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</si>
  <si>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</si>
  <si>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</si>
  <si>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</si>
  <si>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</si>
  <si>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</si>
  <si>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</si>
  <si>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</si>
  <si>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</si>
  <si>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</si>
  <si>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</si>
  <si>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</si>
  <si>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</si>
  <si>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</si>
  <si>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</si>
  <si>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</si>
  <si>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</si>
  <si>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</si>
  <si>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</si>
  <si>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</si>
  <si>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</si>
  <si>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</si>
  <si>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</si>
  <si>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</si>
  <si>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</si>
  <si>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</si>
  <si>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</si>
  <si>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</si>
  <si>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</si>
  <si>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</si>
  <si>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</si>
  <si>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</si>
  <si>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</si>
  <si>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</si>
  <si>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</si>
  <si>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</si>
  <si>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</si>
  <si>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</si>
  <si>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</si>
  <si>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</si>
  <si>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</si>
  <si>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</si>
  <si>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</si>
  <si>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</si>
  <si>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</si>
  <si>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</si>
  <si>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</si>
  <si>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</si>
  <si>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</si>
  <si>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</si>
  <si>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</si>
  <si>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</si>
  <si>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</si>
  <si>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</si>
  <si>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</si>
  <si>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</si>
  <si>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</si>
  <si>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</si>
  <si>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</si>
  <si>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</si>
  <si>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</si>
  <si>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</si>
  <si>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</si>
  <si>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</si>
  <si>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</si>
  <si>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</si>
  <si>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</si>
  <si>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</si>
  <si>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</si>
  <si>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</si>
  <si>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</si>
  <si>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</si>
  <si>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</si>
  <si>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</si>
  <si>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</si>
  <si>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</si>
  <si>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</si>
  <si>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</si>
  <si>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</si>
  <si>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</si>
  <si>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</si>
  <si>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</si>
  <si>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</si>
  <si>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</si>
  <si>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</si>
  <si>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</si>
  <si>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</si>
  <si>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</si>
  <si>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</si>
  <si>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</si>
  <si>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</si>
  <si>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</si>
  <si>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</si>
  <si>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</si>
  <si>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</si>
  <si>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</si>
  <si>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</si>
  <si>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</si>
  <si>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</si>
  <si>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</si>
  <si>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</si>
  <si>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</si>
  <si>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</si>
  <si>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</si>
  <si>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</si>
  <si>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</si>
  <si>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</si>
  <si>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</si>
  <si>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</si>
  <si>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</si>
  <si>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</si>
  <si>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</si>
  <si>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</si>
  <si>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</si>
  <si>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</si>
  <si>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</si>
  <si>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</si>
  <si>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</si>
  <si>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</si>
  <si>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</si>
  <si>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</si>
  <si>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</si>
  <si>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</si>
  <si>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</si>
  <si>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</si>
  <si>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</si>
  <si>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</si>
  <si>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</si>
  <si>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</si>
  <si>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</si>
  <si>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</si>
  <si>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</si>
  <si>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</si>
  <si>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</si>
  <si>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</si>
  <si>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</si>
  <si>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</si>
  <si>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</si>
  <si>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</si>
  <si>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</si>
  <si>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</si>
  <si>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</si>
  <si>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</si>
  <si>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</si>
  <si>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</si>
  <si>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</si>
  <si>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</si>
  <si>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</si>
  <si>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</si>
  <si>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</si>
  <si>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</si>
  <si>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</si>
  <si>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</si>
  <si>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</si>
  <si>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</si>
  <si>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</si>
  <si>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</si>
  <si>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</si>
  <si>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</si>
  <si>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</si>
  <si>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</si>
  <si>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</si>
  <si>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</si>
  <si>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</si>
  <si>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</si>
  <si>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</si>
  <si>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</si>
  <si>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</si>
  <si>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</si>
  <si>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</si>
  <si>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</si>
  <si>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</si>
  <si>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</si>
  <si>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</si>
  <si>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</si>
  <si>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</si>
  <si>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</si>
  <si>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</si>
  <si>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</si>
  <si>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</si>
  <si>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</si>
  <si>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</si>
  <si>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</si>
  <si>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</si>
  <si>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</si>
  <si>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</si>
  <si>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</si>
  <si>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</si>
  <si>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</si>
  <si>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</si>
  <si>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</si>
  <si>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</si>
  <si>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</si>
  <si>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</si>
  <si>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</si>
  <si>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</si>
  <si>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</si>
  <si>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</si>
  <si>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</si>
  <si>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</si>
  <si>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</si>
  <si>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</si>
  <si>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</si>
  <si>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</si>
  <si>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</si>
  <si>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</si>
  <si>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</si>
  <si>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</si>
  <si>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</si>
  <si>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</si>
  <si>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</si>
  <si>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</si>
  <si>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</si>
  <si>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</si>
  <si>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</si>
  <si>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</si>
  <si>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</si>
  <si>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</si>
  <si>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</si>
  <si>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</si>
  <si>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</si>
  <si>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</si>
  <si>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</si>
  <si>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</si>
  <si>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</si>
  <si>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</si>
  <si>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</si>
  <si>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</si>
  <si>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</si>
  <si>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</si>
  <si>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</si>
  <si>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</si>
  <si>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</si>
  <si>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</si>
  <si>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</si>
  <si>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</si>
  <si>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</si>
  <si>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</si>
  <si>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</si>
  <si>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</si>
  <si>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</si>
  <si>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</si>
  <si>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</si>
  <si>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</si>
  <si>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</si>
  <si>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</si>
  <si>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</si>
  <si>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</si>
  <si>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</si>
  <si>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</si>
  <si>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</si>
  <si>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</si>
  <si>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</si>
  <si>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</si>
  <si>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</si>
  <si>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</si>
  <si>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</si>
  <si>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</si>
  <si>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</si>
  <si>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</si>
  <si>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</si>
  <si>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</si>
  <si>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</si>
  <si>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</si>
  <si>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</si>
  <si>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</si>
  <si>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</si>
  <si>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</si>
  <si>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</si>
  <si>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</si>
  <si>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</si>
  <si>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</si>
  <si>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</si>
  <si>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</si>
  <si>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</si>
  <si>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</si>
  <si>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</si>
  <si>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</si>
  <si>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</si>
  <si>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</si>
  <si>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</si>
  <si>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</si>
  <si>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</si>
  <si>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</si>
  <si>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</si>
  <si>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</si>
  <si>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</si>
  <si>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</si>
  <si>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</si>
  <si>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</si>
  <si>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</si>
  <si>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</si>
  <si>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</si>
  <si>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</si>
  <si>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</si>
  <si>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</si>
  <si>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</si>
  <si>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</si>
  <si>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</si>
  <si>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</si>
  <si>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</si>
  <si>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</si>
  <si>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</si>
  <si>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</si>
  <si>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</si>
  <si>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</si>
  <si>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</si>
  <si>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</si>
  <si>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</si>
  <si>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</si>
  <si>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</si>
  <si>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</si>
  <si>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</si>
  <si>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</si>
  <si>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</si>
  <si>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</si>
  <si>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</si>
  <si>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</si>
  <si>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</si>
  <si>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</si>
  <si>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</si>
  <si>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</si>
  <si>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</si>
  <si>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</si>
  <si>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</si>
  <si>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</si>
  <si>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</si>
  <si>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</si>
  <si>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</si>
  <si>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</si>
  <si>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</si>
  <si>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</si>
  <si>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</si>
  <si>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</si>
  <si>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</si>
  <si>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</si>
  <si>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</si>
  <si>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</si>
  <si>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</si>
  <si>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</si>
  <si>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</si>
  <si>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</si>
  <si>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</si>
  <si>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</si>
  <si>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</si>
  <si>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</si>
  <si>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</si>
  <si>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</si>
  <si>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</si>
  <si>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</si>
  <si>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</si>
  <si>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</si>
  <si>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</si>
  <si>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</si>
  <si>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</si>
  <si>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</si>
  <si>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</si>
  <si>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</si>
  <si>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</si>
  <si>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</si>
  <si>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</si>
  <si>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</si>
  <si>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</si>
  <si>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</si>
  <si>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</si>
  <si>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</si>
  <si>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</si>
  <si>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</si>
  <si>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</si>
  <si>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</si>
  <si>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</si>
  <si>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</si>
  <si>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</si>
  <si>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</si>
  <si>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</si>
  <si>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</si>
  <si>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</si>
  <si>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</si>
  <si>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</si>
  <si>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</si>
  <si>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</si>
  <si>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</si>
  <si>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</si>
  <si>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</si>
  <si>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</si>
  <si>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</si>
  <si>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</si>
  <si>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</si>
  <si>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</si>
  <si>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</si>
  <si>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</si>
  <si>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</si>
  <si>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</si>
  <si>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</si>
  <si>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</si>
  <si>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</si>
  <si>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</si>
  <si>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</si>
  <si>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</si>
  <si>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</si>
  <si>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</si>
  <si>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</si>
  <si>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</si>
  <si>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</si>
  <si>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</si>
  <si>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</si>
  <si>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</si>
  <si>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</si>
  <si>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</si>
  <si>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</si>
  <si>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</si>
  <si>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</si>
  <si>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</si>
  <si>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</si>
  <si>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</si>
  <si>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</si>
  <si>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</si>
  <si>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</si>
  <si>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</si>
  <si>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</si>
  <si>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</si>
  <si>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</si>
  <si>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</si>
  <si>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</si>
  <si>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</si>
  <si>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</si>
  <si>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</si>
  <si>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</si>
  <si>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</si>
  <si>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</si>
  <si>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</si>
  <si>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</si>
  <si>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</si>
  <si>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</si>
  <si>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</si>
  <si>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</si>
  <si>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</si>
  <si>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</si>
  <si>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</si>
  <si>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</si>
  <si>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</si>
  <si>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</si>
  <si>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</si>
  <si>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</si>
  <si>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</si>
  <si>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</si>
  <si>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</si>
  <si>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</si>
  <si>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</si>
  <si>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</si>
  <si>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</si>
  <si>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</si>
  <si>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</si>
  <si>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</si>
  <si>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</si>
  <si>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</si>
  <si>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</si>
  <si>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</si>
  <si>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</si>
  <si>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</si>
  <si>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</si>
  <si>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</si>
  <si>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</si>
  <si>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</si>
  <si>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</si>
  <si>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</si>
  <si>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</si>
  <si>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</si>
  <si>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</si>
  <si>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</si>
  <si>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</si>
  <si>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</si>
  <si>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</si>
  <si>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</si>
  <si>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</si>
  <si>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</si>
  <si>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</si>
  <si>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</si>
  <si>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</si>
  <si>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</si>
  <si>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</si>
  <si>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</si>
  <si>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</si>
  <si>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</si>
  <si>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</si>
  <si>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</si>
  <si>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</si>
  <si>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</si>
  <si>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</si>
  <si>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</si>
  <si>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</si>
  <si>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</si>
  <si>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</si>
  <si>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</si>
  <si>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</si>
  <si>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</si>
  <si>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</si>
  <si>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</si>
  <si>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</si>
  <si>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</si>
  <si>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</si>
  <si>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</si>
  <si>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</si>
  <si>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</si>
  <si>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</si>
  <si>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</si>
  <si>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</si>
  <si>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</si>
  <si>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</si>
  <si>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</si>
  <si>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</si>
  <si>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</si>
  <si>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</si>
  <si>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</si>
  <si>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</si>
  <si>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</si>
  <si>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</si>
  <si>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</si>
  <si>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</si>
  <si>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</si>
  <si>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</si>
  <si>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</si>
  <si>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</si>
  <si>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</si>
  <si>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</si>
  <si>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</si>
  <si>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</si>
  <si>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</si>
  <si>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</si>
  <si>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</si>
  <si>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</si>
  <si>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</si>
  <si>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</si>
  <si>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</si>
  <si>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</si>
  <si>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</si>
  <si>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</si>
  <si>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</si>
  <si>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</si>
  <si>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</si>
  <si>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</si>
  <si>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</si>
  <si>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</si>
  <si>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</si>
  <si>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</si>
  <si>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</si>
  <si>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</si>
  <si>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</si>
  <si>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</si>
  <si>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</si>
  <si>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</si>
  <si>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</si>
  <si>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</si>
  <si>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</si>
  <si>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</si>
  <si>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</si>
  <si>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</si>
  <si>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</si>
  <si>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</si>
  <si>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</si>
  <si>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</si>
  <si>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</si>
  <si>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</si>
  <si>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</si>
  <si>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</si>
  <si>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</si>
  <si>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</si>
  <si>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</si>
  <si>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</si>
  <si>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</si>
  <si>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</si>
  <si>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</si>
  <si>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</si>
  <si>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</si>
  <si>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</si>
  <si>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</si>
  <si>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</si>
  <si>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</si>
  <si>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</si>
  <si>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</si>
  <si>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</si>
  <si>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</si>
  <si>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</si>
  <si>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</si>
  <si>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</si>
  <si>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</si>
  <si>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</si>
  <si>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</si>
  <si>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</si>
  <si>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</si>
  <si>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</si>
  <si>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</si>
  <si>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</si>
  <si>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</si>
  <si>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</si>
  <si>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</si>
  <si>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</si>
  <si>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</si>
  <si>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</si>
  <si>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</si>
  <si>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</si>
  <si>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</si>
  <si>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</si>
  <si>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</si>
  <si>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</si>
  <si>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</si>
  <si>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</si>
  <si>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</si>
  <si>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</si>
  <si>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</si>
  <si>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</si>
  <si>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</si>
  <si>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</si>
  <si>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</si>
  <si>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</si>
  <si>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</si>
  <si>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</si>
  <si>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</si>
  <si>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</si>
  <si>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</si>
  <si>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</si>
  <si>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</si>
  <si>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</si>
  <si>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</si>
  <si>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</si>
  <si>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</si>
  <si>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</si>
  <si>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</si>
  <si>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</si>
  <si>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</si>
  <si>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</si>
  <si>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</si>
  <si>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</si>
  <si>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</si>
  <si>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</si>
  <si>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</si>
  <si>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</si>
  <si>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</si>
  <si>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</si>
  <si>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</si>
  <si>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</si>
  <si>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</si>
  <si>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</si>
  <si>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</si>
  <si>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</si>
  <si>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</si>
  <si>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</si>
  <si>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</si>
  <si>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</si>
  <si>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</si>
  <si>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</si>
  <si>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</si>
  <si>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</si>
  <si>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</si>
  <si>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</si>
  <si>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</si>
  <si>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</si>
  <si>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</si>
  <si>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</si>
  <si>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</si>
  <si>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</si>
  <si>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</si>
  <si>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</si>
  <si>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</si>
  <si>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</si>
  <si>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</si>
  <si>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</si>
  <si>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</si>
  <si>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</si>
  <si>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</si>
  <si>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</si>
  <si>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</si>
  <si>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</si>
  <si>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</si>
  <si>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</si>
  <si>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</si>
  <si>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</si>
  <si>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</si>
  <si>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</si>
  <si>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</si>
  <si>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</si>
  <si>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</si>
  <si>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</si>
  <si>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</si>
  <si>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</si>
  <si>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</si>
  <si>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</si>
  <si>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</si>
  <si>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</si>
  <si>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</si>
  <si>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</si>
  <si>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</si>
  <si>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</si>
  <si>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</si>
  <si>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</si>
  <si>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</si>
  <si>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</si>
  <si>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</si>
  <si>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</si>
  <si>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</si>
  <si>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</si>
  <si>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</si>
  <si>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</si>
  <si>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</si>
  <si>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</si>
  <si>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</si>
  <si>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</si>
  <si>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</si>
  <si>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</si>
  <si>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</si>
  <si>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</si>
  <si>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</si>
  <si>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</si>
  <si>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</si>
  <si>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</si>
  <si>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</si>
  <si>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</si>
  <si>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</si>
  <si>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</si>
  <si>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</si>
  <si>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</si>
  <si>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</si>
  <si>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</si>
  <si>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</si>
  <si>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</si>
  <si>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</si>
  <si>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</si>
  <si>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</si>
  <si>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</si>
  <si>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</si>
  <si>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</si>
  <si>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</si>
  <si>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</si>
  <si>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</si>
  <si>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</si>
  <si>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</si>
  <si>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</si>
  <si>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</si>
  <si>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</si>
  <si>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</si>
  <si>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</si>
  <si>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</si>
  <si>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</si>
  <si>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</si>
  <si>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</si>
  <si>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</si>
  <si>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</si>
  <si>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</si>
  <si>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</si>
  <si>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</si>
  <si>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</si>
  <si>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</si>
  <si>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</si>
  <si>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</si>
  <si>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</si>
  <si>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</si>
  <si>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</si>
  <si>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</si>
  <si>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</si>
  <si>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</si>
  <si>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</si>
  <si>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</si>
  <si>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</si>
  <si>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</si>
  <si>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</si>
  <si>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</si>
  <si>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</si>
  <si>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</si>
  <si>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</si>
  <si>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</si>
  <si>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</si>
  <si>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</si>
  <si>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</si>
  <si>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</si>
  <si>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</si>
  <si>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</si>
  <si>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</si>
  <si>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</si>
  <si>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</si>
  <si>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</si>
  <si>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</si>
  <si>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</si>
  <si>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</si>
  <si>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</si>
  <si>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</si>
  <si>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</si>
  <si>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</si>
  <si>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</si>
  <si>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</si>
  <si>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</si>
  <si>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</si>
  <si>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</si>
  <si>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</si>
  <si>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</si>
  <si>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</si>
  <si>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</si>
  <si>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</si>
  <si>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</si>
  <si>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</si>
  <si>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</si>
  <si>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</si>
  <si>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</si>
  <si>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</si>
  <si>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</si>
  <si>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</si>
  <si>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</si>
  <si>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</si>
  <si>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</si>
  <si>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</si>
  <si>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</si>
  <si>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</si>
  <si>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</si>
  <si>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</si>
  <si>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</si>
  <si>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</si>
  <si>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</si>
  <si>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</si>
  <si>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</si>
  <si>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</si>
  <si>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</si>
  <si>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</si>
  <si>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</si>
  <si>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</si>
  <si>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</si>
  <si>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</si>
  <si>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</si>
  <si>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</si>
  <si>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</si>
  <si>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</si>
  <si>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</si>
  <si>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</si>
  <si>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</si>
  <si>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</si>
  <si>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</si>
  <si>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</si>
  <si>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</si>
  <si>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</si>
  <si>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</si>
  <si>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</si>
  <si>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</si>
  <si>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</si>
  <si>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</si>
  <si>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</si>
  <si>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</si>
  <si>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</si>
  <si>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</si>
  <si>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</si>
  <si>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</si>
  <si>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</si>
  <si>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</si>
  <si>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</si>
  <si>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</si>
  <si>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</si>
  <si>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</si>
  <si>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</si>
  <si>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</si>
  <si>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</si>
  <si>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</si>
  <si>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</si>
  <si>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</si>
  <si>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</si>
  <si>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</si>
  <si>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</si>
  <si>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</si>
  <si>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</si>
  <si>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</si>
  <si>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</si>
  <si>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</si>
  <si>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</si>
  <si>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</si>
  <si>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</si>
  <si>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</si>
  <si>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</si>
  <si>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</si>
  <si>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</si>
  <si>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</si>
  <si>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</si>
  <si>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</si>
  <si>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</si>
  <si>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</si>
  <si>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</si>
  <si>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</si>
  <si>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</si>
  <si>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</si>
  <si>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</si>
  <si>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</si>
  <si>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</si>
  <si>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</si>
  <si>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</si>
  <si>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</si>
  <si>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</si>
  <si>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</si>
  <si>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</si>
  <si>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</si>
  <si>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</si>
  <si>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</si>
  <si>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</si>
  <si>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</si>
  <si>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</si>
  <si>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</si>
  <si>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</si>
  <si>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</si>
  <si>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</si>
  <si>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</si>
  <si>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</si>
  <si>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</si>
  <si>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</si>
  <si>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</si>
  <si>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</si>
  <si>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</si>
  <si>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</si>
  <si>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</si>
  <si>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</si>
  <si>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</si>
  <si>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</si>
  <si>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</si>
  <si>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</si>
  <si>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</si>
  <si>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</si>
  <si>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</si>
  <si>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</si>
  <si>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</si>
  <si>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</si>
  <si>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</si>
  <si>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</si>
  <si>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</si>
  <si>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</si>
  <si>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</si>
  <si>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</si>
  <si>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</si>
  <si>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</si>
  <si>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</si>
  <si>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</si>
  <si>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</si>
  <si>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</si>
  <si>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</si>
  <si>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</si>
  <si>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</si>
  <si>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</si>
  <si>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</si>
  <si>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</si>
  <si>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</si>
  <si>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</si>
  <si>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</si>
  <si>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</si>
  <si>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</si>
  <si>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</si>
  <si>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</si>
  <si>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</si>
  <si>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</si>
  <si>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</si>
  <si>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</si>
  <si>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</si>
  <si>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</si>
  <si>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</si>
  <si>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</si>
  <si>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</si>
  <si>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</si>
  <si>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</si>
  <si>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</si>
  <si>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</si>
  <si>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</si>
  <si>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</si>
  <si>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</si>
  <si>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</si>
  <si>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</si>
  <si>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</si>
  <si>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</si>
  <si>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</si>
  <si>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</si>
  <si>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</si>
  <si>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</si>
  <si>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</si>
  <si>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</si>
  <si>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</si>
  <si>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</si>
  <si>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</si>
  <si>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</si>
  <si>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</si>
  <si>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</si>
  <si>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</si>
  <si>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</si>
  <si>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</si>
  <si>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</si>
  <si>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</si>
  <si>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</si>
  <si>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</si>
  <si>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</si>
  <si>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</si>
  <si>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</si>
  <si>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</si>
  <si>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</si>
  <si>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</si>
  <si>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</si>
  <si>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</si>
  <si>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</si>
  <si>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</si>
  <si>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</si>
  <si>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</si>
  <si>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</si>
  <si>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</si>
  <si>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</si>
  <si>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</si>
  <si>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</si>
  <si>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</si>
  <si>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</si>
  <si>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</si>
  <si>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</si>
  <si>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</si>
  <si>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</si>
  <si>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</si>
  <si>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</si>
  <si>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</si>
  <si>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</si>
  <si>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</si>
  <si>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</si>
  <si>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</si>
  <si>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</si>
  <si>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</si>
  <si>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</si>
  <si>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</si>
  <si>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</si>
  <si>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</si>
  <si>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</si>
  <si>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</si>
  <si>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</si>
  <si>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</si>
  <si>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</si>
  <si>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</si>
  <si>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</si>
  <si>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</si>
  <si>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</si>
  <si>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</si>
  <si>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</si>
  <si>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</si>
  <si>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</si>
  <si>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</si>
  <si>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</si>
  <si>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</si>
  <si>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</si>
  <si>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</si>
  <si>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</si>
  <si>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</si>
  <si>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</si>
  <si>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</si>
  <si>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</si>
  <si>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</si>
  <si>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</si>
  <si>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</si>
  <si>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</si>
  <si>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</si>
  <si>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</si>
  <si>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</si>
  <si>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</si>
  <si>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</si>
  <si>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</si>
  <si>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</si>
  <si>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</si>
  <si>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</si>
  <si>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</si>
  <si>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</si>
  <si>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</si>
  <si>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</si>
  <si>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</si>
  <si>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</si>
  <si>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</si>
  <si>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</si>
  <si>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</si>
  <si>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</si>
  <si>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</si>
  <si>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</si>
  <si>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</si>
  <si>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</si>
  <si>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</si>
  <si>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</si>
  <si>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</si>
  <si>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</si>
  <si>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</si>
  <si>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</si>
  <si>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</si>
  <si>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</si>
  <si>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</si>
  <si>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</si>
  <si>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</si>
  <si>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</si>
  <si>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</si>
  <si>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</si>
  <si>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</si>
  <si>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</si>
  <si>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</si>
  <si>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</si>
  <si>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</si>
  <si>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</si>
  <si>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</si>
  <si>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</si>
  <si>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</si>
  <si>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</si>
  <si>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</si>
  <si>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</si>
  <si>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</si>
  <si>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</si>
  <si>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</si>
  <si>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</si>
  <si>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</si>
  <si>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</si>
  <si>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</si>
  <si>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</si>
  <si>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</si>
  <si>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</si>
  <si>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</si>
  <si>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</si>
  <si>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</si>
  <si>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</si>
  <si>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</si>
  <si>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</si>
  <si>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</si>
  <si>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</si>
  <si>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</si>
  <si>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</si>
  <si>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</si>
  <si>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</si>
  <si>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</si>
  <si>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</si>
  <si>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</si>
  <si>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</si>
  <si>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</si>
  <si>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</si>
  <si>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</si>
  <si>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</si>
  <si>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</si>
  <si>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</si>
  <si>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</si>
  <si>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</si>
  <si>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</si>
  <si>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</si>
  <si>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</si>
  <si>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</si>
  <si>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</si>
  <si>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</si>
  <si>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</si>
  <si>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</si>
  <si>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</si>
  <si>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</si>
  <si>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</si>
  <si>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</si>
  <si>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</si>
  <si>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</si>
  <si>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</si>
  <si>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</si>
  <si>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</si>
  <si>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</si>
  <si>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</si>
  <si>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</si>
  <si>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</si>
  <si>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</si>
  <si>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</si>
  <si>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</si>
  <si>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</si>
  <si>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</si>
  <si>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</si>
  <si>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</si>
  <si>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</si>
  <si>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</si>
  <si>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</si>
  <si>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</si>
  <si>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</si>
  <si>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</si>
  <si>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</si>
  <si>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</si>
  <si>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</si>
  <si>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</si>
  <si>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</si>
  <si>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</si>
  <si>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</si>
  <si>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</si>
  <si>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</si>
  <si>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</si>
  <si>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</si>
  <si>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</si>
  <si>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</si>
  <si>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</si>
  <si>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</si>
  <si>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</si>
  <si>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</si>
  <si>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</si>
  <si>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</si>
  <si>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</si>
  <si>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</si>
  <si>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</si>
  <si>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</si>
  <si>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</si>
  <si>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</si>
  <si>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</si>
  <si>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</si>
  <si>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</si>
  <si>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</si>
  <si>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</si>
  <si>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</si>
  <si>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</si>
  <si>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</si>
  <si>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</si>
  <si>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</si>
  <si>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</si>
  <si>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</si>
  <si>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</si>
  <si>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</si>
  <si>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</si>
  <si>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</si>
  <si>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</si>
  <si>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</si>
  <si>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</si>
  <si>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</si>
  <si>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</si>
  <si>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</si>
  <si>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</si>
  <si>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</si>
  <si>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</si>
  <si>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</si>
  <si>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</si>
  <si>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</si>
  <si>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</si>
  <si>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</si>
  <si>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</si>
  <si>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</si>
  <si>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</si>
  <si>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</si>
  <si>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</si>
  <si>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</si>
  <si>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</si>
  <si>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</si>
  <si>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</si>
  <si>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</si>
  <si>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</si>
  <si>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</si>
  <si>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</si>
  <si>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</si>
  <si>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</si>
  <si>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</si>
  <si>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</si>
  <si>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</si>
  <si>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</si>
  <si>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</si>
  <si>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</si>
  <si>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</si>
  <si>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</si>
  <si>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</si>
  <si>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</si>
  <si>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</si>
  <si>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</si>
  <si>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</si>
  <si>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</si>
  <si>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</si>
  <si>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</si>
  <si>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</si>
  <si>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</si>
  <si>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</si>
  <si>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</si>
  <si>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</si>
  <si>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</si>
  <si>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</si>
  <si>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</si>
  <si>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</si>
  <si>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</si>
  <si>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</si>
  <si>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</si>
  <si>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</si>
  <si>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</si>
  <si>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</si>
  <si>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</si>
  <si>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</si>
  <si>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</si>
  <si>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</si>
  <si>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</si>
  <si>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</si>
  <si>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</si>
  <si>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</si>
  <si>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</si>
  <si>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</si>
  <si>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</si>
  <si>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</si>
  <si>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</si>
  <si>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</si>
  <si>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</si>
  <si>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</si>
  <si>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</si>
  <si>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</si>
  <si>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</si>
  <si>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</si>
  <si>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</si>
  <si>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</si>
  <si>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</si>
  <si>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</si>
  <si>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</si>
  <si>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</si>
  <si>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</si>
  <si>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</si>
  <si>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</si>
  <si>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</si>
  <si>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</si>
  <si>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</si>
  <si>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</si>
  <si>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</si>
  <si>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</si>
  <si>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</si>
  <si>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</si>
  <si>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</si>
  <si>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</si>
  <si>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</si>
  <si>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</si>
  <si>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</si>
  <si>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</si>
  <si>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</si>
  <si>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</si>
  <si>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</si>
  <si>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</si>
  <si>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</si>
  <si>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</si>
  <si>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</si>
  <si>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</si>
  <si>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</si>
  <si>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</si>
  <si>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</si>
  <si>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</si>
  <si>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</si>
  <si>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</si>
  <si>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</si>
  <si>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</si>
  <si>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</si>
  <si>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</si>
  <si>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</si>
  <si>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</si>
  <si>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</si>
  <si>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</si>
  <si>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</si>
  <si>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</si>
  <si>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</si>
  <si>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</si>
  <si>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</si>
  <si>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</si>
  <si>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</si>
  <si>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</si>
  <si>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</si>
  <si>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</si>
  <si>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</si>
  <si>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</si>
  <si>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</si>
  <si>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</si>
  <si>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</si>
  <si>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</si>
  <si>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</si>
  <si>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</si>
  <si>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</si>
  <si>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</si>
  <si>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</si>
  <si>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</si>
  <si>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</si>
  <si>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</si>
  <si>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</si>
  <si>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</si>
  <si>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</si>
  <si>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</si>
  <si>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</si>
  <si>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</si>
  <si>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</si>
  <si>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</si>
  <si>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</si>
  <si>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</si>
  <si>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</si>
  <si>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</si>
  <si>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</si>
  <si>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</si>
  <si>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</si>
  <si>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</si>
  <si>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</si>
  <si>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</si>
  <si>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</si>
  <si>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</si>
  <si>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</si>
  <si>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</si>
  <si>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</si>
  <si>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</si>
  <si>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</si>
  <si>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</si>
  <si>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</si>
  <si>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</si>
  <si>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</si>
  <si>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</si>
  <si>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</si>
  <si>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</si>
  <si>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</si>
  <si>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</si>
  <si>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</si>
  <si>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</si>
  <si>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</si>
  <si>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</si>
  <si>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</si>
  <si>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</si>
  <si>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</si>
  <si>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</si>
  <si>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</si>
  <si>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</si>
  <si>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</si>
  <si>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</si>
  <si>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</si>
  <si>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</si>
  <si>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</si>
  <si>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</si>
  <si>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</si>
  <si>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</si>
  <si>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</si>
  <si>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</si>
  <si>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</si>
  <si>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</si>
  <si>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</si>
  <si>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</si>
  <si>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</si>
  <si>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</si>
  <si>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</si>
  <si>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</si>
  <si>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</si>
  <si>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</si>
  <si>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</si>
  <si>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</si>
  <si>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</si>
  <si>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</si>
  <si>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</si>
  <si>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</si>
  <si>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</si>
  <si>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</si>
  <si>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</si>
  <si>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</si>
  <si>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</si>
  <si>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</si>
  <si>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</si>
  <si>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</si>
  <si>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</si>
  <si>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</si>
  <si>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</si>
  <si>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</si>
  <si>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</si>
  <si>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</si>
  <si>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</si>
  <si>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</si>
  <si>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</si>
  <si>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</si>
  <si>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</si>
  <si>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</si>
  <si>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</si>
  <si>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</si>
  <si>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</si>
  <si>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</si>
  <si>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</si>
  <si>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</si>
  <si>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</si>
  <si>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</si>
  <si>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</si>
  <si>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</si>
  <si>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</si>
  <si>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</si>
  <si>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</si>
  <si>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</si>
  <si>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</si>
  <si>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</si>
  <si>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</si>
  <si>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</si>
  <si>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</si>
  <si>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</si>
  <si>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</si>
  <si>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</si>
  <si>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</si>
  <si>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</si>
  <si>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</si>
  <si>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</si>
  <si>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</si>
  <si>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</si>
  <si>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</si>
  <si>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</si>
  <si>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</si>
  <si>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</si>
  <si>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</si>
  <si>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</si>
  <si>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</si>
  <si>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</si>
  <si>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</si>
  <si>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</si>
  <si>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</si>
  <si>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</si>
  <si>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</si>
  <si>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</si>
  <si>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</si>
  <si>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</si>
  <si>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</si>
  <si>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</si>
  <si>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</si>
  <si>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</si>
  <si>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</si>
  <si>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</si>
  <si>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</si>
  <si>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</si>
  <si>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</si>
  <si>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</si>
  <si>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</si>
  <si>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</si>
  <si>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</si>
  <si>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</si>
  <si>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</si>
  <si>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</si>
  <si>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</si>
  <si>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</si>
  <si>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</si>
  <si>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</si>
  <si>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</si>
  <si>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</si>
  <si>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</si>
  <si>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</si>
  <si>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</si>
  <si>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</si>
  <si>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</si>
  <si>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</si>
  <si>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</si>
  <si>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</si>
  <si>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</si>
  <si>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</si>
  <si>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</si>
  <si>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</si>
  <si>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</si>
  <si>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</si>
  <si>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</si>
  <si>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</si>
  <si>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</si>
  <si>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</si>
  <si>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</si>
  <si>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</si>
  <si>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</si>
  <si>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</si>
  <si>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</si>
  <si>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</si>
  <si>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</si>
  <si>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</si>
  <si>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</si>
  <si>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</si>
  <si>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</si>
  <si>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</si>
  <si>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</si>
  <si>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</si>
  <si>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</si>
  <si>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</si>
  <si>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</si>
  <si>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</si>
  <si>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</si>
  <si>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</si>
  <si>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</si>
  <si>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</si>
  <si>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</si>
  <si>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</si>
  <si>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</si>
  <si>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</si>
  <si>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</si>
  <si>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</si>
  <si>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</si>
  <si>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</si>
  <si>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</si>
  <si>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</si>
  <si>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</si>
  <si>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</si>
  <si>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</si>
  <si>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</si>
  <si>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</si>
  <si>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</si>
  <si>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</si>
  <si>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</si>
  <si>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</si>
  <si>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</si>
  <si>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</si>
  <si>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</si>
  <si>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</si>
  <si>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</si>
  <si>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</si>
  <si>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</si>
  <si>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</si>
  <si>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</si>
  <si>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</si>
  <si>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</si>
  <si>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</si>
  <si>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</si>
  <si>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</si>
  <si>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</si>
  <si>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</si>
  <si>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</si>
  <si>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</si>
  <si>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</si>
  <si>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</si>
  <si>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</si>
  <si>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</si>
  <si>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</si>
  <si>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</si>
  <si>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</si>
  <si>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</si>
  <si>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</si>
  <si>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</si>
  <si>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</si>
  <si>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</si>
  <si>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</si>
  <si>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</si>
  <si>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</si>
  <si>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</si>
  <si>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</si>
  <si>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</si>
  <si>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</si>
  <si>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</si>
  <si>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</si>
  <si>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</si>
  <si>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</si>
  <si>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</si>
  <si>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</si>
  <si>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</si>
  <si>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</si>
  <si>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</si>
  <si>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</si>
  <si>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</si>
  <si>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</si>
  <si>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</si>
  <si>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</si>
  <si>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</si>
  <si>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</si>
  <si>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</si>
  <si>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</si>
  <si>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</si>
  <si>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</si>
  <si>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</si>
  <si>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</si>
  <si>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</si>
  <si>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</si>
  <si>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</si>
  <si>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</si>
  <si>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</si>
  <si>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</si>
  <si>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</si>
  <si>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</si>
  <si>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</si>
  <si>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</si>
  <si>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</si>
  <si>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</si>
  <si>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</si>
  <si>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</si>
  <si>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</si>
  <si>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</si>
  <si>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</si>
  <si>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</si>
  <si>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</si>
  <si>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</si>
  <si>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</si>
  <si>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</si>
  <si>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</si>
  <si>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</si>
  <si>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</si>
  <si>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</si>
  <si>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</si>
  <si>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</si>
  <si>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</si>
  <si>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</si>
  <si>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</si>
  <si>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</si>
  <si>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</si>
  <si>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</si>
  <si>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</si>
  <si>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</si>
  <si>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</si>
  <si>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</si>
  <si>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</si>
  <si>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</si>
  <si>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</si>
  <si>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</si>
  <si>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</si>
  <si>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</si>
  <si>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</si>
  <si>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</si>
  <si>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</si>
  <si>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</si>
  <si>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</si>
  <si>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</si>
  <si>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</si>
  <si>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</si>
  <si>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</si>
  <si>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</si>
  <si>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</si>
  <si>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</si>
  <si>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</si>
  <si>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</si>
  <si>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</si>
  <si>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</si>
  <si>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</si>
  <si>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</si>
  <si>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</si>
  <si>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</si>
  <si>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</si>
  <si>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</si>
  <si>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</si>
  <si>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</si>
  <si>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</si>
  <si>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</si>
  <si>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</si>
  <si>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</si>
  <si>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</si>
  <si>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</si>
  <si>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</si>
  <si>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</si>
  <si>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</si>
  <si>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</si>
  <si>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</si>
  <si>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</si>
  <si>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</si>
  <si>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</si>
  <si>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</si>
  <si>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</si>
  <si>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</si>
  <si>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</si>
  <si>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</si>
  <si>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</si>
  <si>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</si>
  <si>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</si>
  <si>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</si>
  <si>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</si>
  <si>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</si>
  <si>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</si>
  <si>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</si>
  <si>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</si>
  <si>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</si>
  <si>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</si>
  <si>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</si>
  <si>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</si>
  <si>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</si>
  <si>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</si>
  <si>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</si>
  <si>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</si>
  <si>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</si>
  <si>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</si>
  <si>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</si>
  <si>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</si>
  <si>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</si>
  <si>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</si>
  <si>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</si>
  <si>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</si>
  <si>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</si>
  <si>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</si>
  <si>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</si>
  <si>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</si>
  <si>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</si>
  <si>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</si>
  <si>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</si>
  <si>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</si>
  <si>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</si>
  <si>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</si>
  <si>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</si>
  <si>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</si>
  <si>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</si>
  <si>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</si>
  <si>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</si>
  <si>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</si>
  <si>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</si>
  <si>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</si>
  <si>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</si>
  <si>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</si>
  <si>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</si>
  <si>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</si>
  <si>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</si>
  <si>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</si>
  <si>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</si>
  <si>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</si>
  <si>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</si>
  <si>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</si>
  <si>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</si>
  <si>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</si>
  <si>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</si>
  <si>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</si>
  <si>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</si>
  <si>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</si>
  <si>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</si>
  <si>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</si>
  <si>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</si>
  <si>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</si>
  <si>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</si>
  <si>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</si>
  <si>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</si>
  <si>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</si>
  <si>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</si>
  <si>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</si>
  <si>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</si>
  <si>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</si>
  <si>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</si>
  <si>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</si>
  <si>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</si>
  <si>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</si>
  <si>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</si>
  <si>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</si>
  <si>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</si>
  <si>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</si>
  <si>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</si>
  <si>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</si>
  <si>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</si>
  <si>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</si>
  <si>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</si>
  <si>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</si>
  <si>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</si>
  <si>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</si>
  <si>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</si>
  <si>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</si>
  <si>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</si>
  <si>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</si>
  <si>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</si>
  <si>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</si>
  <si>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</si>
  <si>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</si>
  <si>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</si>
  <si>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</si>
  <si>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</si>
  <si>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</si>
  <si>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</si>
  <si>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</si>
  <si>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</si>
  <si>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</si>
  <si>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</si>
  <si>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</si>
  <si>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</si>
  <si>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</si>
  <si>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</si>
  <si>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</si>
  <si>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</si>
  <si>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</si>
  <si>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</si>
  <si>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</si>
  <si>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</si>
  <si>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</si>
  <si>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</si>
  <si>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</si>
  <si>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</si>
  <si>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</si>
  <si>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</si>
  <si>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</si>
  <si>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</si>
  <si>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</si>
  <si>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</si>
  <si>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</si>
  <si>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</si>
  <si>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</si>
  <si>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</si>
  <si>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</si>
  <si>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</si>
  <si>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</si>
  <si>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</si>
  <si>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</si>
  <si>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</si>
  <si>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</si>
  <si>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</si>
  <si>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</si>
  <si>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</si>
  <si>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</si>
  <si>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</si>
  <si>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</si>
  <si>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</si>
  <si>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</si>
  <si>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</si>
  <si>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</si>
  <si>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</si>
  <si>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</si>
  <si>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</si>
  <si>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</si>
  <si>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</si>
  <si>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</si>
  <si>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</si>
  <si>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</si>
  <si>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</si>
  <si>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</si>
  <si>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</si>
  <si>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</si>
  <si>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</si>
  <si>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</si>
  <si>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</si>
  <si>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</si>
  <si>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</si>
  <si>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</si>
  <si>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</si>
  <si>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</si>
  <si>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</si>
  <si>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</si>
  <si>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</si>
  <si>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</si>
  <si>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</si>
  <si>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</si>
  <si>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</si>
  <si>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</si>
  <si>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</si>
  <si>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</si>
  <si>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</si>
  <si>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</si>
  <si>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</si>
  <si>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</si>
  <si>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</si>
  <si>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</si>
  <si>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</si>
  <si>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</si>
  <si>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</si>
  <si>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</si>
  <si>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</si>
  <si>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</si>
  <si>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</si>
  <si>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</si>
  <si>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</si>
  <si>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</si>
  <si>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</si>
  <si>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</si>
  <si>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</si>
  <si>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</si>
  <si>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</si>
  <si>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</si>
  <si>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</si>
  <si>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</si>
  <si>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</si>
  <si>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</si>
  <si>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</si>
  <si>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</si>
  <si>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</si>
  <si>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</si>
  <si>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</si>
  <si>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</si>
  <si>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</si>
  <si>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</si>
  <si>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</si>
  <si>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</si>
  <si>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</si>
  <si>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</si>
  <si>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</si>
  <si>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</si>
  <si>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</si>
  <si>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</si>
  <si>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</si>
  <si>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</si>
  <si>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</si>
  <si>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</si>
  <si>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</si>
  <si>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</si>
  <si>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</si>
  <si>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</si>
  <si>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</si>
  <si>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</si>
  <si>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</si>
  <si>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</si>
  <si>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</si>
  <si>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</si>
  <si>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</si>
  <si>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</si>
  <si>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</si>
  <si>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</si>
  <si>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</si>
  <si>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</si>
  <si>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</si>
  <si>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</si>
  <si>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</si>
  <si>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</si>
  <si>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</si>
  <si>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</si>
  <si>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</si>
  <si>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</si>
  <si>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</si>
  <si>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</si>
  <si>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</si>
  <si>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</si>
  <si>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</si>
  <si>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</si>
  <si>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</si>
  <si>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</si>
  <si>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</si>
  <si>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</si>
  <si>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</si>
  <si>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</si>
  <si>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</si>
  <si>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</si>
  <si>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</si>
  <si>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</si>
  <si>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</si>
  <si>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</si>
  <si>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</si>
  <si>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</si>
  <si>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</si>
  <si>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</si>
  <si>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</si>
  <si>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</si>
  <si>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</si>
  <si>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</si>
  <si>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</si>
  <si>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</si>
  <si>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</si>
  <si>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</si>
  <si>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</si>
  <si>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</si>
  <si>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</si>
  <si>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</si>
  <si>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</si>
  <si>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</si>
  <si>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</si>
  <si>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</si>
  <si>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</si>
  <si>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</si>
  <si>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</si>
  <si>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</si>
  <si>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</si>
  <si>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</si>
  <si>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</si>
  <si>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</si>
  <si>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</si>
  <si>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</si>
  <si>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</si>
  <si>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</si>
  <si>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</si>
  <si>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</si>
  <si>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</si>
  <si>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</si>
  <si>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</si>
  <si>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</si>
  <si>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</si>
  <si>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</si>
  <si>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</si>
  <si>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</si>
  <si>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</si>
  <si>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</si>
  <si>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</si>
  <si>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</si>
  <si>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</si>
  <si>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</si>
  <si>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</si>
  <si>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</si>
  <si>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</si>
  <si>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</si>
  <si>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</si>
  <si>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</si>
  <si>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</si>
  <si>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</si>
  <si>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</si>
  <si>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</si>
  <si>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</si>
  <si>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</si>
  <si>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</si>
  <si>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</si>
  <si>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</si>
  <si>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</si>
  <si>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</si>
  <si>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</si>
  <si>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</si>
  <si>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</si>
  <si>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</si>
  <si>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</si>
  <si>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</si>
  <si>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</si>
  <si>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</si>
  <si>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</si>
  <si>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</si>
  <si>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</si>
  <si>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</si>
  <si>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</si>
  <si>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</si>
  <si>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</si>
  <si>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</si>
  <si>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</si>
  <si>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</si>
  <si>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</si>
  <si>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</si>
  <si>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</si>
  <si>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</si>
  <si>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</si>
  <si>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</si>
  <si>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</si>
  <si>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</si>
  <si>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</si>
  <si>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</si>
  <si>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</si>
  <si>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</si>
  <si>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</si>
  <si>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</si>
  <si>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</si>
  <si>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</si>
  <si>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</si>
  <si>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</si>
  <si>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</si>
  <si>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</si>
  <si>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</si>
  <si>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</si>
  <si>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</si>
  <si>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</si>
  <si>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</si>
  <si>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</si>
  <si>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</si>
  <si>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</si>
  <si>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</si>
  <si>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</si>
  <si>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</si>
  <si>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</si>
  <si>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</si>
  <si>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</si>
  <si>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</si>
  <si>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</si>
  <si>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</si>
  <si>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</si>
  <si>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</si>
  <si>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</si>
  <si>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</si>
  <si>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</si>
  <si>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</si>
  <si>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</si>
  <si>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</si>
  <si>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</si>
  <si>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</si>
  <si>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</si>
  <si>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</si>
  <si>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</si>
  <si>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</si>
  <si>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</si>
  <si>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</si>
  <si>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</si>
  <si>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</si>
  <si>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</si>
  <si>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</si>
  <si>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</si>
  <si>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</si>
  <si>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</si>
  <si>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</si>
  <si>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</si>
  <si>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</si>
  <si>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</si>
  <si>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</si>
  <si>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</si>
  <si>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</si>
  <si>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</si>
  <si>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</si>
  <si>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</si>
  <si>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</si>
  <si>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</si>
  <si>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</si>
  <si>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</si>
  <si>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</si>
  <si>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</si>
  <si>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</si>
  <si>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</si>
  <si>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</si>
  <si>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</si>
  <si>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</si>
  <si>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</si>
  <si>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</si>
  <si>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</si>
  <si>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</si>
  <si>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</si>
  <si>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</si>
  <si>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</si>
  <si>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</si>
  <si>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</si>
  <si>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</si>
  <si>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</si>
  <si>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</si>
  <si>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</si>
  <si>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</si>
  <si>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</si>
  <si>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</si>
  <si>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</si>
  <si>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</si>
  <si>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</si>
  <si>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</si>
  <si>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</si>
  <si>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</si>
  <si>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</si>
  <si>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</si>
  <si>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</si>
  <si>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</si>
  <si>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</si>
  <si>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</si>
  <si>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</si>
  <si>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</si>
  <si>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</si>
  <si>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</si>
  <si>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</si>
  <si>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</si>
  <si>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</si>
  <si>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</si>
  <si>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</si>
  <si>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</si>
  <si>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</si>
  <si>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</si>
  <si>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</si>
  <si>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</si>
  <si>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</si>
  <si>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</si>
  <si>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</si>
  <si>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</si>
  <si>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</si>
  <si>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</si>
  <si>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</si>
  <si>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</si>
  <si>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</si>
  <si>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</si>
  <si>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</si>
  <si>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</si>
  <si>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</si>
  <si>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</si>
  <si>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</si>
  <si>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</si>
  <si>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</si>
  <si>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</si>
  <si>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</si>
  <si>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</si>
  <si>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</si>
  <si>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</si>
  <si>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</si>
  <si>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</si>
  <si>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</si>
  <si>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</si>
  <si>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</si>
  <si>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</si>
  <si>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</si>
  <si>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</si>
  <si>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</si>
  <si>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</si>
  <si>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</si>
  <si>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</si>
  <si>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</si>
  <si>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</si>
  <si>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</si>
  <si>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</si>
  <si>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</si>
  <si>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</si>
  <si>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</si>
  <si>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</si>
  <si>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</si>
  <si>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</si>
  <si>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</si>
  <si>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</si>
  <si>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</si>
  <si>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</si>
  <si>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</si>
  <si>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</si>
  <si>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</si>
  <si>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</si>
  <si>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</si>
  <si>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</si>
  <si>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</si>
  <si>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</si>
  <si>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</si>
  <si>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</si>
  <si>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</si>
  <si>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</si>
  <si>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</si>
  <si>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</si>
  <si>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</si>
  <si>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</si>
  <si>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</si>
  <si>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</si>
  <si>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</si>
  <si>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</si>
  <si>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</si>
  <si>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</si>
  <si>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</si>
  <si>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</si>
  <si>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</si>
  <si>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</si>
  <si>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</si>
  <si>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</si>
  <si>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</si>
  <si>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</si>
  <si>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</si>
  <si>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</si>
  <si>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</si>
  <si>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</si>
  <si>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</si>
  <si>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</si>
  <si>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</si>
  <si>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</si>
  <si>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</si>
  <si>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</si>
  <si>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</si>
  <si>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</si>
  <si>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</si>
  <si>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</si>
  <si>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</si>
  <si>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</si>
  <si>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</si>
  <si>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</si>
  <si>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</si>
  <si>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</si>
  <si>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</si>
  <si>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</si>
  <si>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</si>
  <si>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</si>
  <si>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</si>
  <si>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</si>
  <si>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</si>
  <si>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</si>
  <si>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</si>
  <si>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</si>
  <si>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</si>
  <si>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</si>
  <si>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</si>
  <si>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</si>
  <si>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</si>
  <si>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</si>
  <si>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</si>
  <si>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</si>
  <si>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</si>
  <si>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</si>
  <si>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</si>
  <si>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</si>
  <si>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</si>
  <si>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</si>
  <si>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</si>
  <si>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</si>
  <si>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</si>
  <si>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</si>
  <si>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</si>
  <si>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</si>
  <si>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</si>
  <si>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</si>
  <si>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</si>
  <si>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</si>
  <si>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</si>
  <si>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</si>
  <si>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</si>
  <si>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</si>
  <si>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</si>
  <si>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</si>
  <si>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</si>
  <si>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</si>
  <si>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</si>
  <si>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</si>
  <si>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</si>
  <si>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</si>
  <si>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</si>
  <si>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</si>
  <si>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</si>
  <si>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</si>
  <si>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</si>
  <si>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</si>
  <si>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</si>
  <si>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</si>
  <si>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</si>
  <si>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</si>
  <si>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</si>
  <si>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</si>
  <si>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</si>
  <si>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</si>
  <si>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</si>
  <si>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</si>
  <si>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</si>
  <si>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</si>
  <si>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</si>
  <si>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</si>
  <si>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</si>
  <si>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</si>
  <si>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</si>
  <si>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</si>
  <si>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</si>
  <si>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</si>
  <si>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</si>
  <si>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</si>
  <si>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</si>
  <si>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</si>
  <si>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</si>
  <si>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</si>
  <si>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</si>
  <si>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</si>
  <si>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</si>
  <si>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</si>
  <si>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</si>
  <si>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</si>
  <si>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</si>
  <si>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</si>
  <si>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</si>
  <si>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</si>
  <si>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</si>
  <si>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</si>
  <si>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</si>
  <si>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</si>
  <si>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</si>
  <si>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</si>
  <si>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</si>
  <si>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</si>
  <si>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</si>
  <si>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</si>
  <si>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</si>
  <si>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</si>
  <si>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</si>
  <si>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</si>
  <si>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</si>
  <si>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</si>
  <si>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</si>
  <si>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</si>
  <si>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</si>
  <si>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</si>
  <si>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</si>
  <si>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</si>
  <si>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</si>
  <si>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</si>
  <si>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</si>
  <si>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</si>
  <si>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</si>
  <si>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</si>
  <si>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</si>
  <si>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</si>
  <si>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</si>
  <si>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</si>
  <si>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</si>
  <si>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</si>
  <si>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</si>
  <si>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</si>
  <si>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</si>
  <si>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</si>
  <si>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</si>
  <si>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</si>
  <si>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</si>
  <si>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</si>
  <si>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</si>
  <si>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</si>
  <si>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</si>
  <si>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</si>
  <si>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</si>
  <si>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</si>
  <si>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</si>
  <si>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</si>
  <si>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</si>
  <si>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</si>
  <si>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</si>
  <si>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</si>
  <si>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</si>
  <si>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</si>
  <si>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</si>
  <si>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</si>
  <si>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</si>
  <si>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</si>
  <si>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</si>
  <si>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</si>
  <si>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</si>
  <si>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</si>
  <si>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</si>
  <si>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</si>
  <si>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</si>
  <si>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</si>
  <si>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</si>
  <si>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</si>
  <si>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</si>
  <si>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</si>
  <si>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</si>
  <si>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</si>
  <si>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</si>
  <si>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</si>
  <si>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</si>
  <si>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</si>
  <si>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</si>
  <si>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</si>
  <si>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</si>
  <si>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</si>
  <si>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</si>
  <si>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</si>
  <si>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</si>
  <si>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</si>
  <si>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</si>
  <si>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</si>
  <si>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</si>
  <si>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</si>
  <si>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</si>
  <si>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</si>
  <si>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</si>
  <si>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</si>
  <si>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</si>
  <si>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</si>
  <si>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</si>
  <si>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</si>
  <si>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</si>
  <si>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</si>
  <si>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</si>
  <si>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</si>
  <si>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</si>
  <si>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</si>
  <si>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</si>
  <si>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</si>
  <si>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</si>
  <si>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</si>
  <si>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</si>
  <si>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</si>
  <si>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</si>
  <si>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</si>
  <si>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</si>
  <si>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</si>
  <si>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</si>
  <si>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</si>
  <si>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</si>
  <si>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</si>
  <si>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</si>
  <si>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</si>
  <si>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</si>
  <si>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</si>
  <si>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</si>
  <si>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</si>
  <si>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</si>
  <si>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</si>
  <si>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</si>
  <si>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</si>
  <si>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</si>
  <si>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</si>
  <si>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</si>
  <si>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</si>
  <si>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</si>
  <si>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</si>
  <si>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</si>
  <si>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</si>
  <si>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</si>
  <si>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</si>
  <si>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</si>
  <si>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</si>
  <si>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</si>
  <si>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</si>
  <si>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</si>
  <si>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</si>
  <si>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</si>
  <si>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</si>
  <si>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</si>
  <si>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</si>
  <si>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</si>
  <si>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</si>
  <si>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</si>
  <si>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</si>
  <si>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</si>
  <si>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</si>
  <si>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</si>
  <si>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</si>
  <si>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</si>
  <si>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</si>
  <si>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</si>
  <si>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</si>
  <si>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</si>
  <si>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</si>
  <si>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</si>
  <si>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</si>
  <si>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</si>
  <si>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</si>
  <si>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</si>
  <si>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</si>
  <si>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</si>
  <si>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</si>
  <si>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</si>
  <si>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</si>
  <si>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</si>
  <si>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</si>
  <si>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</si>
  <si>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</si>
  <si>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</si>
  <si>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</si>
  <si>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</si>
  <si>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</si>
  <si>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</si>
  <si>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</si>
  <si>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</si>
  <si>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</si>
  <si>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</si>
  <si>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</si>
  <si>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</si>
  <si>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</si>
  <si>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</si>
  <si>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</si>
  <si>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</si>
  <si>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</si>
  <si>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</si>
  <si>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</si>
  <si>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</si>
  <si>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</si>
  <si>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</si>
  <si>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</si>
  <si>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</si>
  <si>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</si>
  <si>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</si>
  <si>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</si>
  <si>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</si>
  <si>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</si>
  <si>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</si>
  <si>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</si>
  <si>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</si>
  <si>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</si>
  <si>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</si>
  <si>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</si>
  <si>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</si>
  <si>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</si>
  <si>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</si>
  <si>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</si>
  <si>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</si>
  <si>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</si>
  <si>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</si>
  <si>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</si>
  <si>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</si>
  <si>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</si>
  <si>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</si>
  <si>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</si>
  <si>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</si>
  <si>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</si>
  <si>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</si>
  <si>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</si>
  <si>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</si>
  <si>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</si>
  <si>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</si>
  <si>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</si>
  <si>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</si>
  <si>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</si>
  <si>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</si>
  <si>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</si>
  <si>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</si>
  <si>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</si>
  <si>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</si>
  <si>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</si>
  <si>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</si>
  <si>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</si>
  <si>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</si>
  <si>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</si>
  <si>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</si>
  <si>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</si>
  <si>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</si>
  <si>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</si>
  <si>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</si>
  <si>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</si>
  <si>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</si>
  <si>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</si>
  <si>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</si>
  <si>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</si>
  <si>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</si>
  <si>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</si>
  <si>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</si>
  <si>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</si>
  <si>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</si>
  <si>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</si>
  <si>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</si>
  <si>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</si>
  <si>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</si>
  <si>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</si>
  <si>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</si>
  <si>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</si>
  <si>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</si>
  <si>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</si>
  <si>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</si>
  <si>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</si>
  <si>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</si>
  <si>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</si>
  <si>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</si>
  <si>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</si>
  <si>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</si>
  <si>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</si>
  <si>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</si>
  <si>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</si>
  <si>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</si>
  <si>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</si>
  <si>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</si>
  <si>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</si>
  <si>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</si>
  <si>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</si>
  <si>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</si>
  <si>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</si>
  <si>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</si>
  <si>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</si>
  <si>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</si>
  <si>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</si>
  <si>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</si>
  <si>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</si>
  <si>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</si>
  <si>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</si>
  <si>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</si>
  <si>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</si>
  <si>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</si>
  <si>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</si>
  <si>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</si>
  <si>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</si>
  <si>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</si>
  <si>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</si>
  <si>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</si>
  <si>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</si>
  <si>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</si>
  <si>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</si>
  <si>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</si>
  <si>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</si>
  <si>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</si>
  <si>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</si>
  <si>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</si>
  <si>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</si>
  <si>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</si>
  <si>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</si>
  <si>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</si>
  <si>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</si>
  <si>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</si>
  <si>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</si>
  <si>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</si>
  <si>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</si>
  <si>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</si>
  <si>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</si>
  <si>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</si>
  <si>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</si>
  <si>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</si>
  <si>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</si>
  <si>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</si>
  <si>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</si>
  <si>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</si>
  <si>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</si>
  <si>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</si>
  <si>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</si>
  <si>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</si>
  <si>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</si>
  <si>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</si>
  <si>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</si>
  <si>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</si>
  <si>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</si>
  <si>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</si>
  <si>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</si>
  <si>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</si>
  <si>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</si>
  <si>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</si>
  <si>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</si>
  <si>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</si>
  <si>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</si>
  <si>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</si>
  <si>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</si>
  <si>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</si>
  <si>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</si>
  <si>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</si>
  <si>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</si>
  <si>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</si>
  <si>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</si>
  <si>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</si>
  <si>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</si>
  <si>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</si>
  <si>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</si>
  <si>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</si>
  <si>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</si>
  <si>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</si>
  <si>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</si>
  <si>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</si>
  <si>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</si>
  <si>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</si>
  <si>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</si>
  <si>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</si>
  <si>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</si>
  <si>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</si>
  <si>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</si>
  <si>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</si>
  <si>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</si>
  <si>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</si>
  <si>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</si>
  <si>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</si>
  <si>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</si>
  <si>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</si>
  <si>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</si>
  <si>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</si>
  <si>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</si>
  <si>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</si>
  <si>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</si>
  <si>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</si>
  <si>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</si>
  <si>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</si>
  <si>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</si>
  <si>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</si>
  <si>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</si>
  <si>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</si>
  <si>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</si>
  <si>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</si>
  <si>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</si>
  <si>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</si>
  <si>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</si>
  <si>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</si>
  <si>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</si>
  <si>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</si>
  <si>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</si>
  <si>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</si>
  <si>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</si>
  <si>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</si>
  <si>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</si>
  <si>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</si>
  <si>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</si>
  <si>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</si>
  <si>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</si>
  <si>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</si>
  <si>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</si>
  <si>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</si>
  <si>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</si>
  <si>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</si>
  <si>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</si>
  <si>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</si>
  <si>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</si>
  <si>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</si>
  <si>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</si>
  <si>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</si>
  <si>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</si>
  <si>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</si>
  <si>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</si>
  <si>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</si>
  <si>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</si>
  <si>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</si>
  <si>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</si>
  <si>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</si>
  <si>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</si>
  <si>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</si>
  <si>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</si>
  <si>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</si>
  <si>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</si>
  <si>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</si>
  <si>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</si>
  <si>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</si>
  <si>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</si>
  <si>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</si>
  <si>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</si>
  <si>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</si>
  <si>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</si>
  <si>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</si>
  <si>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</si>
  <si>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</si>
  <si>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</si>
  <si>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</si>
  <si>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</si>
  <si>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</si>
  <si>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</si>
  <si>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</si>
  <si>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</si>
  <si>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</si>
  <si>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</si>
  <si>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</si>
  <si>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</si>
  <si>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</si>
  <si>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</si>
  <si>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</si>
  <si>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</si>
  <si>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</si>
  <si>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</si>
  <si>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</si>
  <si>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</si>
  <si>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</si>
  <si>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</si>
  <si>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</si>
  <si>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</si>
  <si>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</si>
  <si>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</si>
  <si>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</si>
  <si>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</si>
  <si>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</si>
  <si>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</si>
  <si>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</si>
  <si>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</si>
  <si>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</si>
  <si>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</si>
  <si>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</si>
  <si>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</si>
  <si>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</si>
  <si>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</si>
  <si>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</si>
  <si>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</si>
  <si>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</si>
  <si>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</si>
  <si>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</si>
  <si>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</si>
  <si>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</si>
  <si>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</si>
  <si>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</si>
  <si>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</si>
  <si>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</si>
  <si>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</si>
  <si>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</si>
  <si>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</si>
  <si>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</si>
  <si>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</si>
  <si>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</si>
  <si>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</si>
  <si>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</si>
  <si>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</si>
  <si>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</si>
  <si>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</si>
  <si>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</si>
  <si>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</si>
  <si>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</si>
  <si>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</si>
  <si>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</si>
  <si>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</si>
  <si>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</si>
  <si>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</si>
  <si>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</si>
  <si>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</si>
  <si>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</si>
  <si>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</si>
  <si>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</si>
  <si>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</si>
  <si>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</si>
  <si>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</si>
  <si>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</si>
  <si>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</si>
  <si>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</si>
  <si>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</si>
  <si>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</si>
  <si>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</si>
  <si>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</si>
  <si>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</si>
  <si>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</si>
  <si>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</si>
  <si>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</si>
  <si>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</si>
  <si>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</si>
  <si>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</si>
  <si>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</si>
  <si>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</si>
  <si>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</si>
  <si>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</si>
  <si>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</si>
  <si>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</si>
  <si>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</si>
  <si>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</si>
  <si>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</si>
  <si>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</si>
  <si>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</si>
  <si>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</si>
  <si>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</si>
  <si>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</si>
  <si>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</si>
  <si>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</si>
  <si>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</si>
  <si>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</si>
  <si>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</si>
  <si>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</si>
  <si>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</si>
  <si>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</si>
  <si>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</si>
  <si>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</si>
  <si>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</si>
  <si>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</si>
  <si>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</si>
  <si>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</si>
  <si>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</si>
  <si>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</si>
  <si>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</si>
  <si>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</si>
  <si>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</si>
  <si>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</si>
  <si>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</si>
  <si>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</si>
  <si>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</si>
  <si>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</si>
  <si>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</si>
  <si>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</si>
  <si>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</si>
  <si>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</si>
  <si>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</si>
  <si>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</si>
  <si>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</si>
  <si>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</si>
  <si>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</si>
  <si>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</si>
  <si>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</si>
  <si>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</si>
  <si>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</si>
  <si>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</si>
  <si>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</si>
  <si>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</si>
  <si>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</si>
  <si>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</si>
  <si>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</si>
  <si>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</si>
  <si>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</si>
  <si>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</si>
  <si>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</si>
  <si>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</si>
  <si>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</si>
  <si>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</si>
  <si>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</si>
  <si>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</si>
  <si>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</si>
  <si>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</si>
  <si>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</si>
  <si>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</si>
  <si>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</si>
  <si>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</si>
  <si>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</si>
  <si>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</si>
  <si>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</si>
  <si>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</si>
  <si>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</si>
  <si>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</si>
  <si>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</si>
  <si>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</si>
  <si>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</si>
  <si>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</si>
  <si>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</si>
  <si>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</si>
  <si>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</si>
  <si>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</si>
  <si>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</si>
  <si>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</si>
  <si>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</si>
  <si>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</si>
  <si>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</si>
  <si>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</si>
  <si>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</si>
  <si>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</si>
  <si>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</si>
  <si>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</si>
  <si>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</si>
  <si>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</si>
  <si>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</si>
  <si>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</si>
  <si>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</si>
  <si>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</si>
  <si>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</si>
  <si>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</si>
  <si>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</si>
  <si>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</si>
  <si>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</si>
  <si>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</si>
  <si>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</si>
  <si>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</si>
  <si>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</si>
  <si>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</si>
  <si>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</si>
  <si>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</si>
  <si>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</si>
  <si>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</si>
  <si>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</si>
  <si>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</si>
  <si>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</si>
  <si>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</si>
  <si>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</si>
  <si>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</si>
  <si>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</si>
  <si>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</si>
  <si>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</si>
  <si>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</si>
  <si>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</si>
  <si>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</si>
  <si>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</si>
  <si>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</si>
  <si>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</si>
  <si>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</si>
  <si>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</si>
  <si>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</si>
  <si>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</si>
  <si>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</si>
  <si>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</si>
  <si>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</si>
  <si>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</si>
  <si>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</si>
  <si>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</si>
  <si>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</si>
  <si>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</si>
  <si>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</si>
  <si>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</si>
  <si>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</si>
  <si>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</si>
  <si>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</si>
  <si>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</si>
  <si>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</si>
  <si>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</si>
  <si>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</si>
  <si>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</si>
  <si>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</si>
  <si>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</si>
  <si>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</si>
  <si>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</si>
  <si>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</si>
  <si>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</si>
  <si>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</si>
  <si>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</si>
  <si>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</si>
  <si>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</si>
  <si>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</si>
  <si>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</si>
  <si>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</si>
  <si>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</si>
  <si>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</si>
  <si>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</si>
  <si>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</si>
  <si>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</si>
  <si>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</si>
  <si>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</si>
  <si>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</si>
  <si>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</si>
  <si>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</si>
  <si>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</si>
  <si>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</si>
  <si>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</si>
  <si>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</si>
  <si>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</si>
  <si>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</si>
  <si>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</si>
  <si>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</si>
  <si>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</si>
  <si>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</si>
  <si>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</si>
  <si>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</si>
  <si>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</si>
  <si>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</si>
  <si>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</si>
  <si>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</si>
  <si>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</si>
  <si>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</si>
  <si>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</si>
  <si>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</si>
  <si>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</si>
  <si>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</si>
  <si>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</si>
  <si>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</si>
  <si>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</si>
  <si>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</si>
  <si>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</si>
  <si>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</si>
  <si>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</si>
  <si>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</si>
  <si>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</si>
  <si>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</si>
  <si>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</si>
  <si>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</si>
  <si>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</si>
  <si>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</si>
  <si>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</si>
  <si>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</si>
  <si>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</si>
  <si>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</si>
  <si>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</si>
  <si>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</si>
  <si>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</si>
  <si>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</si>
  <si>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</si>
  <si>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</si>
  <si>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</si>
  <si>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</si>
  <si>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</si>
  <si>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</si>
  <si>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</si>
  <si>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</si>
  <si>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</si>
  <si>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</si>
  <si>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</si>
  <si>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</si>
  <si>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</si>
  <si>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</si>
  <si>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</si>
  <si>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</si>
  <si>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</si>
  <si>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</si>
  <si>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</si>
  <si>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</si>
  <si>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</si>
  <si>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</si>
  <si>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</si>
  <si>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</si>
  <si>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</si>
  <si>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</si>
  <si>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</si>
  <si>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</si>
  <si>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</si>
  <si>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</si>
  <si>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</si>
  <si>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</si>
  <si>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</si>
  <si>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</si>
  <si>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</si>
  <si>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</si>
  <si>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</si>
  <si>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</si>
  <si>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</si>
  <si>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</si>
  <si>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</si>
  <si>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</si>
  <si>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</si>
  <si>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</si>
  <si>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</si>
  <si>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</si>
  <si>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</si>
  <si>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</si>
  <si>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</si>
  <si>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</si>
  <si>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</si>
  <si>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</si>
  <si>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</si>
  <si>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</si>
  <si>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</si>
  <si>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</si>
  <si>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</si>
  <si>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</si>
  <si>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</si>
  <si>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</si>
  <si>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</si>
  <si>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</si>
  <si>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</si>
  <si>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</si>
  <si>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</si>
  <si>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</si>
  <si>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</si>
  <si>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</si>
  <si>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</si>
  <si>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</si>
  <si>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</si>
  <si>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</si>
  <si>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</si>
  <si>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</si>
  <si>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</si>
  <si>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</si>
  <si>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</si>
  <si>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</si>
  <si>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</si>
  <si>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</si>
  <si>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</si>
  <si>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</si>
  <si>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</si>
  <si>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</si>
  <si>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</si>
  <si>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</si>
  <si>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</si>
  <si>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</si>
  <si>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</si>
  <si>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</si>
  <si>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</si>
  <si>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</si>
  <si>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</si>
  <si>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</si>
  <si>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</si>
  <si>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</si>
  <si>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</si>
  <si>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</si>
  <si>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</si>
  <si>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</si>
  <si>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</si>
  <si>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</si>
  <si>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</si>
  <si>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</si>
  <si>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</si>
  <si>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</si>
  <si>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</si>
  <si>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</si>
  <si>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</si>
  <si>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</si>
  <si>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</si>
  <si>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</si>
  <si>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</si>
  <si>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</si>
  <si>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</si>
  <si>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</si>
  <si>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</si>
  <si>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</si>
  <si>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</si>
  <si>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</si>
  <si>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</si>
  <si>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</si>
  <si>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</si>
  <si>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</si>
  <si>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</si>
  <si>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</si>
  <si>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</si>
  <si>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</si>
  <si>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</si>
  <si>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</si>
  <si>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</si>
  <si>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</si>
  <si>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</si>
  <si>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</si>
  <si>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</si>
  <si>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</si>
  <si>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</si>
  <si>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</si>
  <si>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</si>
  <si>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</si>
  <si>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</si>
  <si>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</si>
  <si>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</si>
  <si>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</si>
  <si>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</si>
  <si>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</si>
  <si>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</si>
  <si>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</si>
  <si>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</si>
  <si>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</si>
  <si>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</si>
  <si>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</si>
  <si>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</si>
  <si>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</si>
  <si>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</si>
  <si>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</si>
  <si>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</si>
  <si>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</si>
  <si>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</si>
  <si>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</si>
  <si>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</si>
  <si>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</si>
  <si>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</si>
  <si>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</si>
  <si>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</si>
  <si>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</si>
  <si>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</si>
  <si>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</si>
  <si>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</si>
  <si>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</si>
  <si>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</si>
  <si>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</si>
  <si>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</si>
  <si>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</si>
  <si>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</si>
  <si>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</si>
  <si>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</si>
  <si>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</si>
  <si>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</si>
  <si>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</si>
  <si>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</si>
  <si>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</si>
  <si>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</si>
  <si>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</si>
  <si>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</si>
  <si>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</si>
  <si>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</si>
  <si>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</si>
  <si>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</si>
  <si>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</si>
  <si>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</si>
  <si>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</si>
  <si>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</si>
  <si>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</si>
  <si>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</si>
  <si>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</si>
  <si>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</si>
  <si>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</si>
  <si>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</si>
  <si>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</si>
  <si>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</si>
  <si>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</si>
  <si>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</si>
  <si>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</si>
  <si>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</si>
  <si>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</si>
  <si>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</si>
  <si>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</si>
  <si>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</si>
  <si>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</si>
  <si>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</si>
  <si>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</si>
  <si>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</si>
  <si>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</si>
  <si>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</si>
  <si>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</si>
  <si>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</si>
  <si>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</si>
  <si>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</si>
  <si>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</si>
  <si>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</si>
  <si>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</si>
  <si>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</si>
  <si>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</si>
  <si>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</si>
  <si>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</si>
  <si>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</si>
  <si>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</si>
  <si>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</si>
  <si>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</si>
  <si>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</si>
  <si>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</si>
  <si>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</si>
  <si>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</si>
  <si>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</si>
  <si>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</si>
  <si>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</si>
  <si>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</si>
  <si>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</si>
  <si>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</si>
  <si>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</si>
  <si>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</si>
  <si>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</si>
  <si>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</si>
  <si>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</si>
  <si>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</si>
  <si>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</si>
  <si>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</si>
  <si>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</si>
  <si>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</si>
  <si>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</si>
  <si>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</si>
  <si>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</si>
  <si>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</si>
  <si>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</si>
  <si>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</si>
  <si>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</si>
  <si>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</si>
  <si>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</si>
  <si>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</si>
  <si>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</si>
  <si>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</si>
  <si>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</si>
  <si>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</si>
  <si>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</si>
  <si>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</si>
  <si>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</si>
  <si>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</si>
  <si>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</si>
  <si>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</si>
  <si>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</si>
  <si>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</si>
  <si>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</si>
  <si>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</si>
  <si>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</si>
  <si>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</si>
  <si>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</si>
  <si>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</si>
  <si>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</si>
  <si>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</si>
  <si>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</si>
  <si>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</si>
  <si>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</si>
  <si>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</si>
  <si>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</si>
  <si>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</si>
  <si>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</si>
  <si>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</si>
  <si>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</si>
  <si>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</si>
  <si>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</si>
  <si>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</si>
  <si>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</si>
  <si>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</si>
  <si>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</si>
  <si>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</si>
  <si>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</si>
  <si>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</si>
  <si>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</si>
  <si>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</si>
  <si>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</si>
  <si>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</si>
  <si>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</si>
  <si>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</si>
  <si>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</si>
  <si>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</si>
  <si>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</si>
  <si>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</si>
  <si>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</si>
  <si>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</si>
  <si>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</si>
  <si>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</si>
  <si>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</si>
  <si>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</si>
  <si>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</si>
  <si>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</si>
  <si>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</si>
  <si>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</si>
  <si>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</si>
  <si>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</si>
  <si>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</si>
  <si>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</si>
  <si>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</si>
  <si>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</si>
  <si>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</si>
  <si>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</si>
  <si>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</si>
  <si>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</si>
  <si>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</si>
  <si>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</si>
  <si>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</si>
  <si>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</si>
  <si>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</si>
  <si>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</si>
  <si>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</si>
  <si>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</si>
  <si>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</si>
  <si>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</si>
  <si>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</si>
  <si>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</si>
  <si>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</si>
  <si>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</si>
  <si>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</si>
  <si>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</si>
  <si>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</si>
  <si>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</si>
  <si>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</si>
  <si>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</si>
  <si>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</si>
  <si>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</si>
  <si>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</si>
  <si>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</si>
  <si>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</si>
  <si>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</si>
  <si>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</si>
  <si>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</si>
  <si>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</si>
  <si>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</si>
  <si>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</si>
  <si>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</si>
  <si>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</si>
  <si>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</si>
  <si>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</si>
  <si>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</si>
  <si>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</si>
  <si>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</si>
  <si>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</si>
  <si>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</si>
  <si>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</si>
  <si>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</si>
  <si>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</si>
  <si>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</si>
  <si>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</si>
  <si>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</si>
  <si>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</si>
  <si>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</si>
  <si>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</si>
  <si>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</si>
  <si>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</si>
  <si>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</si>
  <si>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</si>
  <si>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</si>
  <si>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</si>
  <si>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</si>
  <si>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</si>
  <si>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</si>
  <si>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</si>
  <si>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</si>
  <si>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</si>
  <si>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</si>
  <si>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</si>
  <si>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</si>
  <si>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</si>
  <si>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</si>
  <si>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</si>
  <si>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</si>
  <si>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</si>
  <si>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</si>
  <si>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</si>
  <si>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</si>
  <si>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</si>
  <si>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</si>
  <si>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</si>
  <si>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</si>
  <si>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</si>
  <si>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</si>
  <si>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</si>
  <si>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</si>
  <si>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</si>
  <si>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</si>
  <si>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</si>
  <si>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</si>
  <si>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</si>
  <si>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</si>
  <si>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</si>
  <si>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</si>
  <si>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</si>
  <si>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</si>
  <si>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</si>
  <si>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</si>
  <si>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</si>
  <si>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</si>
  <si>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</si>
  <si>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</si>
  <si>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</si>
  <si>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</si>
  <si>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</si>
  <si>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</si>
  <si>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</si>
  <si>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</si>
  <si>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</si>
  <si>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</si>
  <si>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</si>
  <si>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</si>
  <si>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</si>
  <si>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</si>
  <si>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</si>
  <si>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</si>
  <si>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</si>
  <si>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</si>
  <si>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</si>
  <si>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</si>
  <si>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</si>
  <si>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</si>
  <si>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</si>
  <si>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</si>
  <si>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</si>
  <si>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</si>
  <si>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</si>
  <si>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</si>
  <si>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</si>
  <si>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</si>
  <si>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</si>
  <si>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</si>
  <si>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</si>
  <si>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</si>
  <si>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</si>
  <si>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</si>
  <si>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</si>
  <si>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</si>
  <si>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</si>
  <si>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</si>
  <si>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</si>
  <si>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</si>
  <si>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</si>
  <si>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</si>
  <si>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</si>
  <si>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</si>
  <si>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</si>
  <si>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</si>
  <si>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</si>
  <si>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</si>
  <si>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</si>
  <si>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</si>
  <si>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</si>
  <si>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</si>
  <si>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</si>
  <si>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</si>
  <si>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</si>
  <si>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</si>
  <si>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</si>
  <si>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</si>
  <si>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</si>
  <si>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</si>
  <si>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</si>
  <si>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</si>
  <si>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</si>
  <si>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</si>
  <si>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</si>
  <si>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</si>
  <si>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</si>
  <si>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</si>
  <si>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</si>
  <si>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</si>
  <si>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</si>
  <si>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</si>
  <si>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</si>
  <si>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</si>
  <si>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</si>
  <si>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</si>
  <si>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</si>
  <si>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</si>
  <si>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</si>
  <si>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</si>
  <si>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</si>
  <si>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</si>
  <si>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</si>
  <si>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</si>
  <si>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</si>
  <si>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</si>
  <si>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</si>
  <si>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</si>
  <si>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</si>
  <si>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</si>
  <si>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</si>
  <si>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</si>
  <si>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</si>
  <si>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</si>
  <si>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</si>
  <si>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</si>
  <si>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</si>
  <si>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</si>
  <si>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</si>
  <si>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</si>
  <si>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</si>
  <si>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</si>
  <si>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</si>
  <si>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</si>
  <si>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</si>
  <si>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</si>
  <si>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</si>
  <si>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</si>
  <si>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</si>
  <si>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</si>
  <si>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</si>
  <si>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</si>
  <si>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</si>
  <si>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</si>
  <si>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</si>
  <si>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</si>
  <si>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</si>
  <si>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</si>
  <si>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</si>
  <si>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</si>
  <si>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</si>
  <si>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</si>
  <si>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</si>
  <si>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</si>
  <si>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</si>
  <si>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</si>
  <si>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</si>
  <si>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</si>
  <si>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</si>
  <si>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</si>
  <si>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</si>
  <si>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</si>
  <si>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</si>
  <si>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</si>
  <si>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</si>
  <si>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</si>
  <si>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</si>
  <si>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</si>
  <si>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</si>
  <si>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</si>
  <si>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</si>
  <si>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</si>
  <si>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</si>
  <si>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</si>
  <si>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</si>
  <si>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</si>
  <si>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</si>
  <si>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</si>
  <si>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</si>
  <si>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</si>
  <si>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</si>
  <si>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</si>
  <si>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</si>
  <si>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</si>
  <si>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</si>
  <si>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</si>
  <si>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</si>
  <si>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</si>
  <si>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</si>
  <si>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</si>
  <si>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</si>
  <si>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</si>
  <si>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</si>
  <si>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</si>
  <si>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</si>
  <si>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</si>
  <si>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</si>
  <si>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</si>
  <si>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</si>
  <si>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</si>
  <si>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</si>
  <si>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</si>
  <si>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</si>
  <si>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</si>
  <si>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</si>
  <si>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</si>
  <si>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</si>
  <si>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</si>
  <si>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</si>
  <si>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</si>
  <si>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</si>
  <si>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</si>
  <si>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</si>
  <si>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</si>
  <si>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</si>
  <si>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</si>
  <si>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</si>
  <si>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</si>
  <si>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</si>
  <si>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</si>
  <si>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</si>
  <si>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</si>
  <si>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</si>
  <si>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</si>
  <si>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</si>
  <si>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</si>
  <si>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</si>
  <si>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</si>
  <si>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</si>
  <si>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</si>
  <si>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</si>
  <si>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</si>
  <si>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</si>
  <si>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</si>
  <si>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</si>
  <si>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</si>
  <si>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</si>
  <si>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</si>
  <si>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</si>
  <si>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</si>
  <si>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</si>
  <si>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</si>
  <si>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</si>
  <si>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</si>
  <si>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</si>
  <si>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</si>
  <si>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</si>
  <si>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</si>
  <si>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</si>
  <si>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</si>
  <si>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</si>
  <si>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</si>
  <si>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</si>
  <si>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</si>
  <si>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</si>
  <si>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</si>
  <si>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</si>
  <si>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</si>
  <si>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</si>
  <si>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</si>
  <si>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</si>
  <si>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</si>
  <si>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</si>
  <si>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</si>
  <si>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</si>
  <si>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</si>
  <si>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</si>
  <si>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</si>
  <si>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</si>
  <si>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</si>
  <si>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</si>
  <si>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</si>
  <si>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</si>
  <si>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</si>
  <si>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</si>
  <si>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</si>
  <si>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</si>
  <si>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</si>
  <si>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</si>
  <si>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</si>
  <si>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</si>
  <si>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</si>
  <si>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</si>
  <si>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</si>
  <si>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</si>
  <si>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</si>
  <si>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</si>
  <si>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</si>
  <si>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</si>
  <si>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</si>
  <si>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</si>
  <si>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</si>
  <si>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</si>
  <si>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</si>
  <si>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</si>
  <si>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</si>
  <si>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</si>
  <si>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</si>
  <si>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</si>
  <si>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</si>
  <si>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</si>
  <si>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</si>
  <si>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</si>
  <si>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</si>
  <si>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</si>
  <si>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</si>
  <si>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</si>
  <si>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</si>
  <si>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</si>
  <si>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</si>
  <si>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</si>
  <si>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</si>
  <si>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</si>
  <si>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</si>
  <si>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</si>
  <si>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</si>
  <si>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</si>
  <si>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</si>
  <si>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</si>
  <si>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</si>
  <si>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</si>
  <si>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</si>
  <si>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</si>
  <si>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</si>
  <si>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</si>
  <si>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</si>
  <si>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</si>
  <si>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</si>
  <si>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</si>
  <si>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</si>
  <si>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</si>
  <si>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</si>
  <si>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</si>
  <si>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</si>
  <si>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</si>
  <si>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</si>
  <si>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</si>
  <si>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</si>
  <si>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</si>
  <si>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</si>
  <si>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</si>
  <si>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</si>
  <si>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</si>
  <si>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</si>
  <si>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</si>
  <si>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</si>
  <si>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</si>
  <si>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</si>
  <si>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</si>
  <si>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</si>
  <si>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</si>
  <si>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</si>
  <si>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</si>
  <si>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</si>
  <si>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</si>
  <si>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</si>
  <si>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</si>
  <si>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</si>
  <si>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</si>
  <si>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</si>
  <si>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</si>
  <si>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</si>
  <si>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</si>
  <si>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</si>
  <si>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</si>
  <si>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</si>
  <si>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</si>
  <si>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</si>
  <si>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</si>
  <si>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</si>
  <si>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</si>
  <si>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</si>
  <si>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</si>
  <si>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</si>
  <si>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</si>
  <si>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</si>
  <si>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</si>
  <si>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</si>
  <si>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</si>
  <si>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</si>
  <si>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</si>
  <si>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</si>
  <si>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</si>
  <si>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</si>
  <si>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</si>
  <si>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</si>
  <si>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</si>
  <si>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</si>
  <si>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</si>
  <si>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</si>
  <si>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</si>
  <si>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</si>
  <si>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</si>
  <si>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</si>
  <si>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</si>
  <si>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</si>
  <si>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</si>
  <si>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</si>
  <si>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</si>
  <si>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</si>
  <si>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</si>
  <si>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</si>
  <si>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</si>
  <si>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</si>
  <si>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</si>
  <si>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</si>
  <si>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</si>
  <si>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</si>
  <si>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</si>
  <si>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</si>
  <si>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</si>
  <si>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</si>
  <si>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</si>
  <si>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</si>
  <si>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</si>
  <si>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</si>
  <si>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</si>
  <si>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</si>
  <si>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</si>
  <si>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</si>
  <si>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</si>
  <si>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</si>
  <si>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</si>
  <si>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</si>
  <si>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</si>
  <si>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</si>
  <si>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</si>
  <si>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</si>
  <si>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</si>
  <si>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</si>
  <si>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</si>
  <si>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</si>
  <si>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</si>
  <si>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</si>
  <si>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</si>
  <si>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</si>
  <si>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</si>
  <si>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</si>
  <si>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</si>
  <si>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</si>
  <si>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</si>
  <si>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</si>
  <si>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</si>
  <si>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</si>
  <si>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</si>
  <si>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</si>
  <si>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</si>
  <si>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</si>
  <si>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</si>
  <si>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</si>
  <si>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</si>
  <si>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</si>
  <si>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</si>
  <si>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</si>
  <si>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</si>
  <si>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</si>
  <si>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</si>
  <si>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</si>
  <si>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</si>
  <si>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</si>
  <si>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</si>
  <si>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</si>
  <si>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</si>
  <si>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</si>
  <si>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</si>
  <si>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</si>
  <si>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</si>
  <si>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</si>
  <si>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</si>
  <si>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</si>
  <si>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</si>
  <si>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</si>
  <si>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</si>
  <si>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</si>
  <si>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</si>
  <si>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</si>
  <si>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</si>
  <si>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</si>
  <si>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</si>
  <si>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</si>
  <si>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</si>
  <si>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</si>
  <si>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</si>
  <si>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</si>
  <si>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</si>
  <si>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</si>
  <si>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</si>
  <si>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</si>
  <si>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</si>
  <si>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</si>
  <si>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</si>
  <si>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</si>
  <si>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</si>
  <si>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</si>
  <si>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</si>
  <si>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</si>
  <si>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</si>
  <si>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</si>
  <si>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</si>
  <si>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</si>
  <si>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</si>
  <si>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</si>
  <si>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</si>
  <si>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</si>
  <si>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</si>
  <si>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</si>
  <si>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</si>
  <si>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</si>
  <si>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</si>
  <si>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</si>
  <si>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</si>
  <si>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</si>
  <si>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</si>
  <si>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</si>
  <si>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</si>
  <si>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</si>
  <si>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</si>
  <si>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</si>
  <si>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</si>
  <si>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</si>
  <si>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</si>
  <si>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</si>
  <si>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</si>
  <si>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</si>
  <si>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</si>
  <si>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</si>
  <si>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</si>
  <si>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</si>
  <si>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</si>
  <si>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</si>
  <si>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</si>
  <si>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</si>
  <si>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</si>
  <si>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</si>
  <si>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</si>
  <si>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</si>
  <si>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</si>
  <si>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</si>
  <si>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</si>
  <si>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</si>
  <si>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</si>
  <si>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</si>
  <si>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</si>
  <si>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</si>
  <si>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</si>
  <si>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</si>
  <si>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</si>
  <si>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</si>
  <si>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</si>
  <si>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</si>
  <si>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</si>
  <si>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</si>
  <si>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</si>
  <si>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</si>
  <si>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</si>
  <si>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</si>
  <si>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</si>
  <si>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</si>
  <si>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</si>
  <si>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</si>
  <si>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</si>
  <si>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</si>
  <si>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</si>
  <si>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</si>
  <si>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</si>
  <si>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</si>
  <si>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</si>
  <si>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</si>
  <si>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</si>
  <si>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</si>
  <si>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</si>
  <si>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</si>
  <si>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</si>
  <si>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</si>
  <si>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</si>
  <si>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</si>
  <si>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</si>
  <si>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</si>
  <si>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</si>
  <si>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</si>
  <si>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</si>
  <si>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</si>
  <si>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</si>
  <si>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</si>
  <si>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</si>
  <si>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</si>
  <si>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</si>
  <si>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</si>
  <si>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</si>
  <si>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</si>
  <si>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</si>
  <si>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</si>
  <si>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</si>
  <si>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</si>
  <si>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</si>
  <si>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</si>
  <si>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</si>
  <si>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</si>
  <si>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</si>
  <si>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</si>
  <si>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</si>
  <si>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</si>
  <si>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</si>
  <si>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</si>
  <si>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</si>
  <si>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</si>
  <si>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</si>
  <si>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</si>
  <si>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</si>
  <si>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</si>
  <si>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</si>
  <si>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</si>
  <si>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</si>
  <si>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</si>
  <si>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</si>
  <si>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</si>
  <si>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</si>
  <si>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</si>
  <si>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</si>
  <si>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</si>
  <si>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</si>
  <si>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</si>
  <si>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</si>
  <si>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</si>
  <si>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</si>
  <si>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</si>
  <si>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</si>
  <si>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</si>
  <si>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</si>
  <si>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</si>
  <si>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</si>
  <si>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</si>
  <si>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</si>
  <si>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</si>
  <si>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</si>
  <si>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</si>
  <si>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</si>
  <si>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</si>
  <si>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</si>
  <si>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</si>
  <si>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</si>
  <si>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</si>
  <si>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</si>
  <si>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</si>
  <si>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</si>
  <si>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</si>
  <si>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</si>
  <si>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</si>
  <si>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</si>
  <si>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</si>
  <si>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</si>
  <si>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</si>
  <si>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</si>
  <si>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</si>
  <si>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</si>
  <si>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</si>
  <si>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</si>
  <si>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</si>
  <si>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</si>
  <si>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</si>
  <si>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</si>
  <si>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</si>
  <si>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</si>
  <si>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</si>
  <si>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</si>
  <si>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</si>
  <si>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</si>
  <si>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</si>
  <si>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</si>
  <si>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</si>
  <si>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</si>
  <si>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</si>
  <si>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</si>
  <si>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</si>
  <si>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</si>
  <si>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</si>
  <si>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</si>
  <si>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</si>
  <si>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</si>
  <si>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</si>
  <si>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</si>
  <si>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</si>
  <si>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</si>
  <si>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</si>
  <si>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</si>
  <si>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</si>
  <si>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</si>
  <si>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</si>
  <si>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</si>
  <si>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</si>
  <si>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</si>
  <si>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</si>
  <si>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</si>
  <si>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</si>
  <si>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</si>
  <si>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</si>
  <si>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</si>
  <si>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</si>
  <si>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</si>
  <si>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</si>
  <si>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</si>
  <si>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</si>
  <si>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</si>
  <si>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</si>
  <si>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</si>
  <si>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</si>
  <si>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</si>
  <si>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</si>
  <si>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</si>
  <si>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</si>
  <si>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</si>
  <si>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</si>
  <si>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</si>
  <si>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</si>
  <si>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</si>
  <si>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</si>
  <si>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</si>
  <si>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</si>
  <si>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</si>
  <si>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</si>
  <si>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</si>
  <si>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</si>
  <si>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</si>
  <si>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</si>
  <si>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</si>
  <si>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</si>
  <si>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</si>
  <si>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</si>
  <si>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</si>
  <si>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</si>
  <si>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</si>
  <si>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</si>
  <si>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</si>
  <si>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</si>
  <si>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</si>
  <si>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</si>
  <si>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</si>
  <si>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</si>
  <si>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</si>
  <si>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</si>
  <si>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</si>
  <si>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</si>
  <si>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</si>
  <si>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</si>
  <si>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</si>
  <si>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</si>
  <si>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</si>
  <si>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</si>
  <si>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</si>
  <si>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</si>
  <si>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</si>
  <si>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</si>
  <si>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</si>
  <si>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</si>
  <si>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</si>
  <si>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</si>
  <si>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</si>
  <si>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</si>
  <si>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</si>
  <si>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</si>
  <si>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</si>
  <si>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</si>
  <si>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</si>
  <si>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</si>
  <si>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</si>
  <si>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</si>
  <si>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</si>
  <si>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</si>
  <si>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</si>
  <si>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</si>
  <si>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</si>
  <si>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</si>
  <si>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</si>
  <si>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</si>
  <si>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</si>
  <si>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</si>
  <si>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</si>
  <si>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</si>
  <si>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</si>
  <si>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</si>
  <si>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</si>
  <si>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</si>
  <si>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</si>
  <si>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</si>
  <si>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</si>
  <si>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</si>
  <si>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</si>
  <si>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</si>
  <si>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</si>
  <si>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</si>
  <si>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</si>
  <si>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</si>
  <si>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</si>
  <si>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</si>
  <si>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</si>
  <si>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</si>
  <si>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</si>
  <si>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</si>
  <si>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</si>
  <si>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</si>
  <si>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</si>
  <si>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</si>
  <si>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</si>
  <si>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</si>
  <si>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</si>
  <si>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</si>
  <si>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</si>
  <si>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</si>
  <si>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</si>
  <si>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</si>
  <si>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</si>
  <si>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</si>
  <si>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</si>
  <si>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</si>
  <si>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</si>
  <si>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</si>
  <si>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</si>
  <si>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</si>
  <si>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</si>
  <si>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</si>
  <si>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</si>
  <si>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</si>
  <si>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</si>
  <si>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</si>
  <si>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</si>
  <si>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</si>
  <si>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</si>
  <si>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</si>
  <si>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</si>
  <si>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</si>
  <si>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</si>
  <si>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</si>
  <si>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</si>
  <si>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</si>
  <si>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</si>
  <si>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</si>
  <si>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</si>
  <si>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</si>
  <si>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</si>
  <si>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</si>
  <si>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</si>
  <si>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</si>
  <si>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</si>
  <si>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</si>
  <si>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</si>
  <si>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</si>
  <si>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</si>
  <si>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</si>
  <si>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</si>
  <si>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</si>
  <si>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</si>
  <si>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</si>
  <si>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</si>
  <si>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</si>
  <si>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</si>
  <si>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</si>
  <si>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</si>
  <si>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</si>
  <si>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</si>
  <si>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</si>
  <si>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</si>
  <si>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</si>
  <si>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</si>
  <si>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</si>
  <si>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</si>
  <si>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</si>
  <si>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</si>
  <si>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</si>
  <si>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</si>
  <si>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</si>
  <si>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</si>
  <si>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</si>
  <si>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</si>
  <si>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</si>
  <si>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</si>
  <si>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</si>
  <si>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</si>
  <si>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</si>
  <si>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</si>
  <si>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</si>
  <si>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</si>
  <si>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</si>
  <si>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</si>
  <si>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</si>
  <si>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</si>
  <si>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</si>
  <si>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</si>
  <si>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</si>
  <si>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</si>
  <si>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</si>
  <si>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</si>
  <si>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</si>
  <si>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</si>
  <si>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</si>
  <si>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</si>
  <si>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</si>
  <si>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</si>
  <si>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</si>
  <si>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</si>
  <si>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</si>
  <si>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</si>
  <si>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</si>
  <si>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</si>
  <si>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</si>
  <si>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</si>
  <si>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</si>
  <si>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</si>
  <si>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</si>
  <si>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</si>
  <si>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</si>
  <si>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</si>
  <si>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</si>
  <si>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</si>
  <si>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</si>
  <si>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</si>
  <si>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</si>
  <si>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</si>
  <si>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</si>
  <si>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</si>
  <si>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</si>
  <si>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</si>
  <si>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</si>
  <si>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</si>
  <si>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</si>
  <si>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</si>
  <si>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</si>
  <si>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</si>
  <si>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</si>
  <si>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</si>
  <si>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</si>
  <si>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</si>
  <si>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</si>
  <si>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</si>
  <si>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</si>
  <si>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</si>
  <si>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</si>
  <si>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</si>
  <si>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</si>
  <si>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</si>
  <si>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</si>
  <si>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</si>
  <si>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</si>
  <si>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</si>
  <si>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</si>
  <si>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</si>
  <si>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</si>
  <si>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</si>
  <si>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</si>
  <si>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</si>
  <si>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</si>
  <si>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</si>
  <si>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</si>
  <si>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</si>
  <si>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</si>
  <si>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</si>
  <si>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</si>
  <si>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</si>
  <si>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</si>
  <si>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</si>
  <si>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</si>
  <si>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</si>
  <si>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</si>
  <si>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</si>
  <si>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</si>
  <si>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</si>
  <si>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</si>
  <si>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</si>
  <si>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</si>
  <si>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</si>
  <si>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</si>
  <si>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</si>
  <si>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</si>
  <si>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</si>
  <si>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</si>
  <si>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</si>
  <si>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</si>
  <si>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</si>
  <si>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</si>
  <si>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</si>
  <si>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</si>
  <si>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</si>
  <si>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</si>
  <si>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</si>
  <si>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</si>
  <si>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</si>
  <si>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</si>
  <si>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</si>
  <si>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</si>
  <si>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</si>
  <si>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</si>
  <si>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</si>
  <si>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</si>
  <si>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</si>
  <si>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</si>
  <si>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</si>
  <si>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</si>
  <si>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</si>
  <si>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</si>
  <si>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</si>
  <si>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</si>
  <si>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</si>
  <si>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</si>
  <si>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</si>
  <si>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</si>
  <si>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</si>
  <si>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</si>
  <si>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</si>
  <si>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</si>
  <si>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</si>
  <si>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</si>
  <si>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</si>
  <si>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</si>
  <si>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</si>
  <si>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</si>
  <si>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</si>
  <si>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</si>
  <si>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</si>
  <si>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</si>
  <si>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</si>
  <si>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</si>
  <si>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</si>
  <si>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</si>
  <si>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</si>
  <si>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</si>
  <si>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</si>
  <si>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</si>
  <si>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</si>
  <si>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</si>
  <si>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</si>
  <si>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</si>
  <si>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</si>
  <si>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</si>
  <si>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</si>
  <si>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</si>
  <si>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</si>
  <si>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</si>
  <si>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</si>
  <si>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</si>
  <si>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</si>
  <si>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</si>
  <si>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</si>
  <si>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</si>
  <si>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</si>
  <si>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</si>
  <si>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</si>
  <si>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</si>
  <si>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</si>
  <si>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</si>
  <si>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</si>
  <si>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</si>
  <si>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</si>
  <si>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</si>
  <si>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</si>
  <si>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</si>
  <si>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</si>
  <si>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</si>
  <si>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</si>
  <si>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</si>
  <si>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</si>
  <si>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</si>
  <si>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</si>
  <si>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</si>
  <si>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</si>
  <si>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</si>
  <si>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</si>
  <si>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</si>
  <si>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</si>
  <si>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</si>
  <si>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</si>
  <si>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</si>
  <si>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</si>
  <si>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</si>
  <si>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</si>
  <si>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</si>
  <si>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</si>
  <si>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</si>
  <si>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</si>
  <si>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</si>
  <si>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</si>
  <si>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</si>
  <si>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</si>
  <si>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</si>
  <si>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</si>
  <si>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</si>
  <si>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</si>
  <si>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</si>
  <si>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</si>
  <si>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</si>
  <si>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</si>
  <si>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</si>
  <si>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</si>
  <si>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</si>
  <si>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</si>
  <si>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</si>
  <si>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</si>
  <si>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</si>
  <si>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</si>
  <si>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</si>
  <si>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</si>
  <si>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</si>
  <si>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</si>
  <si>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</si>
  <si>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</si>
  <si>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</si>
  <si>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</si>
  <si>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</si>
  <si>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</si>
  <si>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</si>
  <si>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</si>
  <si>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</si>
  <si>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</si>
  <si>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</si>
  <si>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</si>
  <si>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</si>
  <si>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</si>
  <si>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</si>
  <si>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</si>
  <si>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</si>
  <si>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</si>
  <si>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</si>
  <si>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</si>
  <si>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</si>
  <si>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</si>
  <si>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</si>
  <si>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</si>
  <si>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</si>
  <si>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</si>
  <si>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</si>
  <si>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</si>
  <si>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</si>
  <si>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</si>
  <si>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</si>
  <si>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</si>
  <si>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</si>
  <si>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</si>
  <si>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</si>
  <si>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</si>
  <si>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</si>
  <si>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</si>
  <si>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</si>
  <si>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</si>
  <si>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</si>
  <si>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</si>
  <si>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</si>
  <si>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</si>
  <si>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</si>
  <si>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</si>
  <si>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</si>
  <si>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</si>
  <si>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</si>
  <si>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</si>
  <si>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</si>
  <si>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</si>
  <si>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</si>
  <si>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</si>
  <si>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</si>
  <si>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</si>
  <si>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</si>
  <si>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</si>
  <si>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</si>
  <si>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</si>
  <si>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</si>
  <si>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</si>
  <si>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</si>
  <si>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</si>
  <si>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</si>
  <si>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</si>
  <si>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</si>
  <si>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</si>
  <si>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</si>
  <si>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</si>
  <si>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</si>
  <si>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</si>
  <si>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</si>
  <si>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</si>
  <si>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</si>
  <si>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</si>
  <si>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</si>
  <si>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</si>
  <si>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</si>
  <si>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</si>
  <si>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</si>
  <si>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</si>
  <si>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</si>
  <si>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</si>
  <si>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</si>
  <si>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</si>
  <si>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</si>
  <si>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</si>
  <si>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</si>
  <si>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</si>
  <si>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</si>
  <si>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</si>
  <si>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</si>
  <si>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</si>
  <si>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</si>
  <si>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</si>
  <si>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</si>
  <si>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</si>
  <si>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</si>
  <si>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</si>
  <si>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</si>
  <si>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</si>
  <si>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</si>
  <si>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</si>
  <si>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</si>
  <si>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</si>
  <si>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</si>
  <si>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</si>
  <si>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</si>
  <si>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</si>
  <si>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</si>
  <si>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</si>
  <si>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</si>
  <si>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</si>
  <si>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</si>
  <si>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</si>
  <si>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</si>
  <si>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</si>
  <si>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</si>
  <si>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</si>
  <si>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</si>
  <si>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</si>
  <si>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</si>
  <si>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</si>
  <si>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</si>
  <si>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</si>
  <si>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</si>
  <si>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</si>
  <si>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</si>
  <si>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</si>
  <si>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</si>
  <si>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</si>
  <si>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</si>
  <si>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</si>
  <si>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</si>
  <si>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</si>
  <si>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</si>
  <si>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</si>
  <si>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</si>
  <si>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</si>
  <si>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</si>
  <si>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</si>
  <si>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</si>
  <si>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</si>
  <si>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</si>
  <si>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</si>
  <si>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</si>
  <si>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</si>
  <si>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</si>
  <si>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</si>
  <si>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</si>
  <si>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</si>
  <si>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</si>
  <si>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</si>
  <si>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</si>
  <si>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</si>
  <si>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</si>
  <si>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</si>
  <si>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</si>
  <si>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</si>
  <si>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</si>
  <si>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</si>
  <si>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</si>
  <si>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</si>
  <si>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</si>
  <si>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</si>
  <si>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</si>
  <si>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</si>
  <si>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</si>
  <si>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</si>
  <si>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</si>
  <si>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</si>
  <si>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</si>
  <si>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</si>
  <si>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</si>
  <si>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</si>
  <si>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</si>
  <si>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</si>
  <si>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</si>
  <si>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</si>
  <si>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</si>
  <si>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</si>
  <si>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</si>
  <si>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</si>
  <si>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</si>
  <si>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</si>
  <si>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</si>
  <si>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</si>
  <si>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</si>
  <si>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</si>
  <si>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</si>
  <si>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</si>
  <si>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</si>
  <si>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</si>
  <si>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</si>
  <si>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</si>
  <si>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</si>
  <si>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</si>
  <si>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</si>
  <si>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</si>
  <si>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</si>
  <si>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</si>
  <si>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</si>
  <si>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</si>
  <si>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</si>
  <si>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</si>
  <si>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</si>
  <si>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</si>
  <si>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</si>
  <si>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</si>
  <si>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</si>
  <si>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</si>
  <si>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</si>
  <si>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</si>
  <si>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</si>
  <si>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</si>
  <si>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</si>
  <si>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</si>
  <si>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</si>
  <si>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</si>
  <si>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</si>
  <si>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</si>
  <si>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</si>
  <si>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</si>
  <si>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</si>
  <si>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</si>
  <si>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</si>
  <si>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</si>
  <si>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</si>
  <si>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</si>
  <si>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</si>
  <si>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</si>
  <si>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</si>
  <si>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</si>
  <si>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</si>
  <si>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</si>
  <si>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</si>
  <si>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</si>
  <si>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</si>
  <si>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</si>
  <si>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</si>
  <si>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</si>
  <si>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</si>
  <si>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</si>
  <si>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</si>
  <si>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</si>
  <si>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</si>
  <si>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</si>
  <si>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</si>
  <si>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</si>
  <si>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</si>
  <si>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</si>
  <si>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</si>
  <si>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</si>
  <si>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</si>
  <si>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</si>
  <si>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</si>
  <si>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</si>
  <si>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</si>
  <si>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</si>
  <si>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</si>
  <si>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</si>
  <si>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</si>
  <si>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</si>
  <si>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</si>
  <si>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</si>
  <si>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</si>
  <si>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</si>
  <si>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</si>
  <si>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</si>
  <si>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</si>
  <si>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</si>
  <si>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</si>
  <si>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</si>
  <si>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</si>
  <si>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</si>
  <si>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</si>
  <si>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</si>
  <si>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</si>
  <si>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</si>
  <si>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</si>
  <si>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</si>
  <si>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</si>
  <si>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</si>
  <si>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</si>
  <si>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</si>
  <si>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</si>
  <si>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</si>
  <si>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</si>
  <si>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</si>
  <si>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</si>
  <si>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</si>
  <si>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</si>
  <si>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</si>
  <si>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</si>
  <si>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</si>
  <si>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</si>
  <si>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</si>
  <si>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</si>
  <si>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</si>
  <si>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</si>
  <si>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</si>
  <si>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</si>
  <si>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</si>
  <si>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</si>
  <si>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</si>
  <si>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</si>
  <si>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</si>
  <si>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</si>
  <si>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</si>
  <si>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</si>
  <si>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</si>
  <si>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</si>
  <si>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</si>
  <si>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</si>
  <si>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</si>
  <si>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</si>
  <si>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</si>
  <si>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</si>
  <si>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</si>
  <si>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</si>
  <si>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</si>
  <si>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</si>
  <si>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</si>
  <si>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</si>
  <si>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</si>
  <si>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</si>
  <si>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</si>
  <si>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</si>
  <si>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</si>
  <si>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</si>
  <si>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</si>
  <si>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</si>
  <si>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</si>
  <si>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</si>
  <si>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</si>
  <si>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</si>
  <si>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</si>
  <si>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</si>
  <si>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</si>
  <si>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</si>
  <si>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</si>
  <si>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</si>
  <si>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</si>
  <si>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</si>
  <si>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</si>
  <si>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</si>
  <si>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</si>
  <si>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</si>
  <si>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</si>
  <si>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</si>
  <si>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</si>
  <si>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</si>
  <si>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</si>
  <si>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</si>
  <si>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</si>
  <si>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</si>
  <si>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</si>
  <si>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</si>
  <si>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</si>
  <si>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</si>
  <si>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</si>
  <si>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</si>
  <si>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</si>
  <si>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</si>
  <si>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</si>
  <si>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</si>
  <si>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</si>
  <si>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</si>
  <si>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</si>
  <si>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</si>
  <si>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</si>
  <si>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</si>
  <si>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</si>
  <si>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</si>
  <si>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</si>
  <si>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</si>
  <si>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</si>
  <si>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</si>
  <si>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</si>
  <si>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</si>
  <si>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</si>
  <si>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</si>
  <si>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</si>
  <si>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</si>
  <si>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</si>
  <si>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</si>
  <si>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</si>
  <si>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</si>
  <si>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</si>
  <si>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</si>
  <si>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</si>
  <si>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</si>
  <si>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</si>
  <si>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</si>
  <si>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</si>
  <si>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</si>
  <si>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</si>
  <si>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</si>
  <si>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</si>
  <si>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</si>
  <si>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</si>
  <si>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</si>
  <si>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</si>
  <si>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</si>
  <si>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</si>
  <si>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</si>
  <si>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</si>
  <si>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</si>
  <si>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</si>
  <si>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</si>
  <si>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</si>
  <si>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</si>
  <si>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</si>
  <si>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</si>
  <si>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</si>
  <si>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</si>
  <si>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</si>
  <si>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</si>
  <si>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</si>
  <si>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</si>
  <si>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</si>
  <si>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</si>
  <si>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</si>
  <si>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</si>
  <si>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</si>
  <si>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</si>
  <si>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</si>
  <si>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</si>
  <si>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</si>
  <si>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</si>
  <si>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</si>
  <si>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</si>
  <si>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</si>
  <si>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</si>
  <si>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</si>
  <si>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</si>
  <si>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</si>
  <si>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</si>
  <si>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</si>
  <si>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</si>
  <si>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</si>
  <si>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</si>
  <si>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</si>
  <si>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</si>
  <si>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</si>
  <si>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</si>
  <si>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</si>
  <si>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</si>
  <si>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</si>
  <si>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</si>
  <si>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</si>
  <si>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</si>
  <si>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</si>
  <si>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</si>
  <si>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</si>
  <si>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</si>
  <si>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</si>
  <si>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</si>
  <si>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</si>
  <si>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</si>
  <si>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</si>
  <si>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</si>
  <si>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</si>
  <si>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</si>
  <si>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</si>
  <si>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</si>
  <si>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</si>
  <si>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</si>
  <si>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</si>
  <si>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</si>
  <si>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</si>
  <si>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</si>
  <si>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</si>
  <si>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</si>
  <si>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</si>
  <si>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</si>
  <si>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</si>
  <si>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</si>
  <si>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</si>
  <si>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</si>
  <si>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</si>
  <si>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</si>
  <si>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</si>
  <si>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</si>
  <si>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</si>
  <si>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</si>
  <si>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</si>
  <si>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</si>
  <si>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</si>
  <si>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</si>
  <si>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</si>
  <si>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</si>
  <si>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</si>
  <si>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</si>
  <si>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</si>
  <si>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</si>
  <si>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</si>
  <si>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</si>
  <si>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</si>
  <si>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</si>
  <si>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</si>
  <si>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</si>
  <si>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</si>
  <si>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</si>
  <si>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</si>
  <si>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</si>
  <si>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</si>
  <si>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</si>
  <si>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</si>
  <si>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</si>
  <si>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</si>
  <si>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</si>
  <si>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</si>
  <si>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</si>
  <si>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</si>
  <si>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</si>
  <si>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</si>
  <si>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</si>
  <si>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</si>
  <si>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</si>
  <si>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</si>
  <si>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</si>
  <si>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</si>
  <si>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</si>
  <si>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</si>
  <si>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</si>
  <si>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</si>
  <si>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</si>
  <si>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</si>
  <si>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</si>
  <si>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</si>
  <si>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</si>
  <si>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</si>
  <si>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</si>
  <si>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</si>
  <si>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</si>
  <si>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</si>
  <si>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</si>
  <si>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</si>
  <si>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</si>
  <si>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</si>
  <si>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</si>
  <si>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</si>
  <si>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</si>
  <si>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</si>
  <si>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</si>
  <si>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</si>
  <si>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</si>
  <si>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</si>
  <si>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</si>
  <si>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</si>
  <si>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</si>
  <si>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</si>
  <si>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</si>
  <si>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</si>
  <si>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</si>
  <si>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</si>
  <si>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</si>
  <si>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</si>
  <si>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</si>
  <si>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</si>
  <si>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</si>
  <si>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</si>
  <si>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</si>
  <si>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</si>
  <si>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</si>
  <si>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</si>
  <si>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</si>
  <si>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</si>
  <si>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</si>
  <si>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</si>
  <si>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</si>
  <si>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</si>
  <si>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</si>
  <si>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</si>
  <si>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</si>
  <si>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</si>
  <si>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</si>
  <si>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</si>
  <si>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</si>
  <si>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</si>
  <si>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</si>
  <si>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</si>
  <si>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</si>
  <si>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</si>
  <si>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</si>
  <si>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</si>
  <si>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</si>
  <si>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</si>
  <si>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</si>
  <si>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</si>
  <si>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</si>
  <si>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</si>
  <si>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</si>
  <si>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</si>
  <si>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</si>
  <si>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</si>
  <si>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</si>
  <si>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</si>
  <si>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</si>
  <si>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</si>
  <si>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</si>
  <si>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</si>
  <si>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</si>
  <si>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</si>
  <si>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</si>
  <si>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</si>
  <si>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</si>
  <si>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</si>
  <si>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</si>
  <si>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</si>
  <si>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</si>
  <si>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</si>
  <si>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</si>
  <si>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</si>
  <si>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</si>
  <si>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</si>
  <si>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</si>
  <si>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</si>
  <si>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</si>
  <si>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</si>
  <si>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</si>
  <si>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</si>
  <si>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</si>
  <si>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</si>
  <si>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</si>
  <si>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</si>
  <si>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</si>
  <si>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</si>
  <si>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</si>
  <si>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</si>
  <si>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</si>
  <si>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</si>
  <si>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</si>
  <si>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</si>
  <si>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</si>
  <si>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</si>
  <si>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</si>
  <si>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</si>
  <si>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</si>
  <si>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</si>
  <si>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</si>
  <si>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</si>
  <si>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</si>
  <si>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</si>
  <si>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</si>
  <si>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</si>
  <si>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</si>
  <si>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</si>
  <si>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</si>
  <si>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</si>
  <si>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</si>
  <si>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</si>
  <si>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</si>
  <si>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</si>
  <si>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</si>
  <si>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</si>
  <si>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</si>
  <si>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</si>
  <si>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</si>
  <si>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</si>
  <si>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</si>
  <si>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</si>
  <si>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</si>
  <si>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</si>
  <si>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</si>
  <si>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</si>
  <si>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</si>
  <si>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</si>
  <si>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</si>
  <si>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</si>
  <si>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</si>
  <si>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</si>
  <si>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</si>
  <si>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</si>
  <si>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</si>
  <si>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</si>
  <si>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</si>
  <si>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</si>
  <si>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</si>
  <si>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</si>
  <si>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</si>
  <si>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</si>
  <si>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</si>
  <si>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</si>
  <si>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</si>
  <si>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</si>
  <si>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</si>
  <si>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</si>
  <si>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</si>
  <si>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</si>
  <si>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</si>
  <si>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</si>
  <si>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</si>
  <si>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</si>
  <si>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</si>
  <si>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</si>
  <si>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</si>
  <si>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</si>
  <si>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</si>
  <si>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</si>
  <si>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</si>
  <si>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</si>
  <si>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</si>
  <si>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</si>
  <si>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</si>
  <si>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</si>
  <si>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</si>
  <si>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</si>
  <si>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</si>
  <si>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</si>
  <si>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</si>
  <si>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</si>
  <si>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</si>
  <si>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</si>
  <si>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</si>
  <si>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</si>
  <si>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</si>
  <si>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</si>
  <si>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</si>
  <si>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</si>
  <si>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</si>
  <si>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</si>
  <si>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</si>
  <si>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</si>
  <si>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</si>
  <si>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</si>
  <si>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</si>
  <si>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</si>
  <si>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</si>
  <si>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</si>
  <si>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</si>
  <si>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</si>
  <si>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</si>
  <si>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</si>
  <si>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</si>
  <si>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</si>
  <si>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</si>
  <si>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</si>
  <si>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</si>
  <si>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</si>
  <si>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</si>
  <si>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</si>
  <si>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</si>
  <si>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</si>
  <si>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</si>
  <si>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</si>
  <si>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</si>
  <si>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</si>
  <si>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</si>
  <si>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</si>
  <si>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</si>
  <si>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</si>
  <si>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</si>
  <si>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</si>
  <si>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</si>
  <si>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</si>
  <si>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</si>
  <si>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</si>
  <si>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</si>
  <si>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</si>
  <si>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</si>
  <si>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</si>
  <si>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</si>
  <si>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</si>
  <si>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</si>
  <si>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</si>
  <si>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</si>
  <si>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</si>
  <si>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</si>
  <si>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</si>
  <si>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</si>
  <si>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</si>
  <si>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</si>
  <si>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</si>
  <si>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</si>
  <si>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</si>
  <si>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</si>
  <si>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</si>
  <si>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</si>
  <si>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</si>
  <si>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</si>
  <si>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</si>
  <si>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</si>
  <si>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</si>
  <si>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</si>
  <si>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</si>
  <si>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</si>
  <si>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</si>
  <si>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</si>
  <si>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</si>
  <si>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</si>
  <si>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</si>
  <si>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</si>
  <si>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</si>
  <si>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</si>
  <si>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</si>
  <si>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</si>
  <si>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</si>
  <si>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</si>
  <si>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</si>
  <si>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</si>
  <si>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</si>
  <si>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</si>
  <si>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</si>
  <si>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</si>
  <si>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</si>
  <si>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</si>
  <si>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</si>
  <si>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</si>
  <si>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</si>
  <si>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</si>
  <si>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</si>
  <si>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</si>
  <si>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</si>
  <si>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</si>
  <si>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</si>
  <si>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</si>
  <si>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</si>
  <si>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</si>
  <si>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</si>
  <si>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</si>
  <si>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</si>
  <si>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</si>
  <si>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</si>
  <si>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</si>
  <si>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</si>
  <si>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</si>
  <si>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</si>
  <si>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</si>
  <si>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</si>
  <si>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</si>
  <si>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</si>
  <si>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</si>
  <si>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</si>
  <si>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</si>
  <si>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</si>
  <si>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</si>
  <si>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</si>
  <si>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</si>
  <si>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</si>
  <si>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</si>
  <si>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</si>
  <si>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</si>
  <si>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</si>
  <si>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</si>
  <si>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</si>
  <si>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</si>
  <si>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</si>
  <si>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</si>
  <si>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</si>
  <si>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</si>
  <si>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</si>
  <si>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</si>
  <si>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</si>
  <si>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</si>
  <si>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</si>
  <si>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</si>
  <si>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</si>
  <si>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</si>
  <si>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</si>
  <si>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</si>
  <si>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</si>
  <si>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</si>
  <si>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</si>
  <si>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</si>
  <si>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</si>
  <si>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</si>
  <si>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</si>
  <si>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</si>
  <si>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</si>
  <si>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</si>
  <si>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</si>
  <si>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</si>
  <si>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</si>
  <si>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</si>
  <si>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</si>
  <si>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</si>
  <si>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</si>
  <si>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</si>
  <si>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</si>
  <si>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</si>
  <si>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</si>
  <si>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</si>
  <si>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</si>
  <si>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</si>
  <si>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</si>
  <si>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</si>
  <si>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</si>
  <si>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</si>
  <si>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</si>
  <si>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</si>
  <si>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</si>
  <si>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</si>
  <si>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</si>
  <si>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</si>
  <si>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</si>
  <si>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</si>
  <si>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</si>
  <si>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</si>
  <si>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</si>
  <si>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</si>
  <si>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</si>
  <si>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</si>
  <si>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</si>
  <si>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</si>
  <si>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</si>
  <si>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</si>
  <si>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</si>
  <si>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</si>
  <si>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</si>
  <si>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</si>
  <si>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</si>
  <si>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</si>
  <si>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</si>
  <si>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</si>
  <si>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</si>
  <si>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</si>
  <si>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</si>
  <si>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</si>
  <si>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</si>
  <si>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</si>
  <si>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</si>
  <si>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</si>
  <si>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</si>
  <si>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</si>
  <si>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</si>
  <si>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</si>
  <si>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</si>
  <si>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</si>
  <si>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</si>
  <si>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</si>
  <si>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</si>
  <si>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</si>
  <si>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</si>
  <si>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</si>
  <si>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</si>
  <si>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</si>
  <si>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</si>
  <si>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</si>
  <si>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</si>
  <si>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</si>
  <si>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</si>
  <si>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</si>
  <si>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</si>
  <si>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</si>
  <si>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</si>
  <si>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</si>
  <si>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</si>
  <si>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</si>
  <si>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</si>
  <si>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</si>
  <si>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</si>
  <si>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</si>
  <si>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</si>
  <si>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</si>
  <si>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</si>
  <si>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</si>
  <si>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</si>
  <si>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</si>
  <si>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</si>
  <si>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</si>
  <si>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</si>
  <si>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</si>
  <si>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</si>
  <si>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</si>
  <si>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</si>
  <si>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</si>
  <si>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</si>
  <si>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</si>
  <si>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</si>
  <si>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</si>
  <si>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</si>
  <si>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</si>
  <si>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</si>
  <si>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</si>
  <si>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</si>
  <si>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</si>
  <si>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</si>
  <si>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</si>
  <si>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</si>
  <si>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</si>
  <si>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</si>
  <si>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</si>
  <si>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</si>
  <si>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</si>
  <si>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</si>
  <si>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</si>
  <si>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</si>
  <si>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</si>
  <si>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</si>
  <si>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</si>
  <si>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</si>
  <si>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</si>
  <si>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</si>
  <si>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</si>
  <si>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</si>
  <si>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</si>
  <si>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</si>
  <si>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</si>
  <si>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</si>
  <si>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</si>
  <si>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</si>
  <si>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</si>
  <si>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</si>
  <si>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</si>
  <si>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</si>
  <si>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</si>
  <si>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</si>
  <si>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</si>
  <si>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</si>
  <si>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</si>
  <si>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</si>
  <si>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</si>
  <si>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</si>
  <si>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</si>
  <si>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</si>
  <si>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</si>
  <si>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</si>
  <si>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</si>
  <si>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</si>
  <si>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</si>
  <si>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</si>
  <si>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</si>
  <si>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</si>
  <si>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</si>
  <si>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</si>
  <si>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</si>
  <si>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</si>
  <si>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</si>
  <si>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</si>
  <si>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</si>
  <si>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</si>
  <si>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</si>
  <si>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</si>
  <si>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</si>
  <si>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</si>
  <si>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</si>
  <si>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</si>
  <si>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</si>
  <si>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</si>
  <si>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</si>
  <si>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</si>
  <si>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</si>
  <si>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</si>
  <si>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</si>
  <si>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</si>
  <si>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</si>
  <si>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</si>
  <si>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</si>
  <si>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</si>
  <si>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</si>
  <si>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</si>
  <si>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</si>
  <si>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</si>
  <si>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</si>
  <si>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</si>
  <si>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</si>
  <si>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</si>
  <si>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</si>
  <si>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</si>
  <si>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</si>
  <si>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</si>
  <si>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</si>
  <si>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</si>
  <si>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</si>
  <si>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</si>
  <si>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</si>
  <si>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</si>
  <si>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</si>
  <si>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</si>
  <si>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</si>
  <si>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</si>
  <si>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</si>
  <si>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</si>
  <si>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</si>
  <si>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</si>
  <si>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</si>
  <si>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</si>
  <si>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</si>
  <si>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</si>
  <si>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</si>
  <si>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</si>
  <si>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</si>
  <si>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</si>
  <si>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</si>
  <si>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</si>
  <si>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</si>
  <si>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</si>
  <si>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</si>
  <si>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</si>
  <si>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</si>
  <si>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</si>
  <si>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</si>
  <si>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</si>
  <si>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</si>
  <si>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</si>
  <si>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</si>
  <si>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</si>
  <si>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</si>
  <si>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</si>
  <si>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</si>
  <si>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</si>
  <si>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</si>
  <si>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</si>
  <si>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</si>
  <si>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</si>
  <si>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</si>
  <si>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</si>
  <si>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</si>
  <si>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</si>
  <si>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</si>
  <si>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</si>
  <si>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</si>
  <si>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</si>
  <si>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</si>
  <si>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</si>
  <si>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</si>
  <si>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</si>
  <si>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</si>
  <si>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</si>
  <si>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</si>
  <si>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</si>
  <si>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</si>
  <si>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</si>
  <si>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</si>
  <si>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</si>
  <si>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</si>
  <si>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</si>
  <si>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</si>
  <si>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</si>
  <si>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</si>
  <si>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</si>
  <si>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</si>
  <si>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</si>
  <si>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</si>
  <si>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</si>
  <si>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</si>
  <si>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</si>
  <si>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</si>
  <si>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</si>
  <si>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</si>
  <si>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</si>
  <si>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</si>
  <si>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</si>
  <si>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</si>
  <si>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</si>
  <si>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</si>
  <si>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</si>
  <si>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</si>
  <si>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</si>
  <si>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</si>
  <si>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</si>
  <si>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</si>
  <si>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</si>
  <si>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</si>
  <si>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</si>
  <si>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</si>
  <si>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</si>
  <si>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</si>
  <si>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</si>
  <si>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</si>
  <si>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</si>
  <si>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</si>
  <si>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</si>
  <si>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</si>
  <si>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</si>
  <si>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</si>
  <si>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</si>
  <si>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</si>
  <si>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</si>
  <si>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</si>
  <si>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</si>
  <si>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</si>
  <si>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</si>
  <si>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</si>
  <si>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</si>
  <si>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</si>
  <si>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</si>
  <si>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</si>
  <si>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</si>
  <si>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</si>
  <si>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</si>
  <si>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</si>
  <si>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</si>
  <si>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</si>
  <si>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</si>
  <si>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</si>
  <si>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</si>
  <si>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</si>
  <si>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</si>
  <si>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</si>
  <si>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</si>
  <si>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</si>
  <si>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</si>
  <si>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</si>
  <si>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</si>
  <si>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</si>
  <si>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</si>
  <si>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</si>
  <si>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</si>
  <si>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</si>
  <si>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</si>
  <si>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</si>
  <si>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</si>
  <si>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</si>
  <si>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</si>
  <si>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</si>
  <si>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</si>
  <si>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</si>
  <si>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</si>
  <si>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</si>
  <si>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</si>
  <si>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</si>
  <si>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</si>
  <si>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</si>
  <si>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</si>
  <si>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</si>
  <si>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</si>
  <si>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</si>
  <si>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</si>
  <si>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</si>
  <si>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</si>
  <si>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</si>
  <si>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</si>
  <si>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</si>
  <si>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</si>
  <si>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</si>
  <si>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</si>
  <si>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</si>
  <si>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</si>
  <si>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</si>
  <si>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</si>
  <si>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</si>
  <si>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</si>
  <si>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</si>
  <si>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</si>
  <si>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</si>
  <si>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</si>
  <si>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</si>
  <si>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</si>
  <si>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</si>
  <si>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</si>
  <si>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</si>
  <si>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</si>
  <si>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</si>
  <si>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</si>
  <si>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</si>
  <si>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</si>
  <si>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</si>
  <si>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</si>
  <si>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</si>
  <si>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</si>
  <si>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</si>
  <si>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</si>
  <si>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</si>
  <si>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</si>
  <si>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</si>
  <si>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</si>
  <si>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</si>
  <si>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</si>
  <si>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</si>
  <si>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</si>
  <si>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</si>
  <si>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</si>
  <si>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</si>
  <si>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</si>
  <si>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</si>
  <si>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</si>
  <si>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</si>
  <si>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</si>
  <si>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</si>
  <si>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</si>
  <si>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</si>
  <si>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</si>
  <si>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</si>
  <si>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</si>
  <si>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</si>
  <si>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</si>
  <si>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</si>
  <si>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</si>
  <si>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</si>
  <si>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</si>
  <si>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</si>
  <si>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</si>
  <si>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</si>
  <si>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</si>
  <si>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</si>
  <si>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</si>
  <si>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</si>
  <si>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</si>
  <si>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</si>
  <si>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</si>
  <si>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</si>
  <si>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</si>
  <si>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</si>
  <si>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</si>
  <si>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</si>
  <si>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</si>
  <si>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</si>
  <si>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</si>
  <si>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</si>
  <si>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</si>
  <si>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</si>
  <si>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</si>
  <si>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</si>
  <si>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</si>
  <si>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</si>
  <si>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</si>
  <si>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</si>
  <si>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</si>
  <si>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</si>
  <si>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</si>
  <si>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</si>
  <si>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</si>
  <si>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</si>
  <si>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</si>
  <si>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</si>
  <si>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</si>
  <si>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</si>
  <si>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</si>
  <si>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</si>
  <si>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</si>
  <si>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</si>
  <si>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</si>
  <si>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</si>
  <si>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</si>
  <si>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</si>
  <si>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</si>
  <si>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</si>
  <si>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</si>
  <si>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</si>
  <si>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</si>
  <si>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</si>
  <si>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</si>
  <si>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</si>
  <si>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</si>
  <si>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</si>
  <si>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</si>
  <si>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</si>
  <si>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</si>
  <si>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</si>
  <si>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</si>
  <si>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</si>
  <si>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</si>
  <si>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</si>
  <si>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</si>
  <si>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</si>
  <si>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</si>
  <si>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</si>
  <si>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</si>
  <si>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</si>
  <si>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</si>
  <si>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</si>
  <si>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</si>
  <si>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</si>
  <si>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</si>
  <si>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</si>
  <si>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</si>
  <si>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</si>
  <si>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</si>
  <si>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</si>
  <si>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</si>
  <si>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</si>
  <si>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</si>
  <si>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</si>
  <si>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</si>
  <si>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</si>
  <si>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</si>
  <si>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</si>
  <si>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</si>
  <si>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</si>
  <si>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</si>
  <si>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</si>
  <si>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</si>
  <si>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</si>
  <si>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</si>
  <si>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</si>
  <si>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</si>
  <si>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</si>
  <si>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</si>
  <si>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</si>
  <si>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</si>
  <si>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</si>
  <si>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</si>
  <si>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</si>
  <si>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</si>
  <si>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</si>
  <si>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</si>
  <si>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</si>
  <si>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</si>
  <si>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</si>
  <si>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</si>
  <si>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</si>
  <si>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</si>
  <si>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</si>
  <si>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</si>
  <si>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</si>
  <si>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</si>
  <si>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</si>
  <si>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</si>
  <si>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</si>
  <si>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</si>
  <si>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</si>
  <si>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</si>
  <si>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</si>
  <si>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</si>
  <si>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</si>
  <si>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</si>
  <si>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</si>
  <si>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</si>
  <si>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</si>
  <si>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</si>
  <si>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</si>
  <si>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</si>
  <si>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</si>
  <si>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</si>
  <si>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</si>
  <si>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</si>
  <si>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</si>
  <si>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</si>
  <si>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</si>
  <si>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</si>
  <si>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</si>
  <si>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</si>
  <si>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</si>
  <si>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</si>
  <si>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</si>
  <si>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</si>
  <si>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</si>
  <si>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</si>
  <si>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</si>
  <si>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</si>
  <si>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</si>
  <si>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</si>
  <si>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</si>
  <si>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</si>
  <si>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</si>
  <si>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</si>
  <si>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</si>
  <si>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</si>
  <si>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</si>
  <si>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</si>
  <si>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</si>
  <si>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</si>
  <si>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</si>
  <si>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</si>
  <si>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</si>
  <si>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</si>
  <si>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</si>
  <si>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</si>
  <si>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</si>
  <si>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</si>
  <si>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</si>
  <si>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</si>
  <si>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</si>
  <si>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</si>
  <si>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</si>
  <si>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</si>
  <si>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</si>
  <si>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</si>
  <si>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</si>
  <si>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</si>
  <si>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</si>
  <si>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</si>
  <si>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</si>
  <si>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</si>
  <si>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</si>
  <si>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</si>
  <si>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</si>
  <si>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</si>
  <si>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</si>
  <si>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</si>
  <si>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</si>
  <si>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</si>
  <si>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</si>
  <si>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</si>
  <si>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</si>
  <si>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</si>
  <si>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</si>
  <si>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</si>
  <si>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</si>
  <si>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</si>
  <si>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</si>
  <si>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</si>
  <si>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</si>
  <si>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</si>
  <si>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</si>
  <si>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</si>
  <si>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</si>
  <si>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</si>
  <si>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</si>
  <si>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</si>
  <si>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</si>
  <si>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</si>
  <si>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</si>
  <si>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</si>
  <si>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</si>
  <si>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</si>
  <si>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</si>
  <si>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</si>
  <si>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</si>
  <si>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</si>
  <si>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</si>
  <si>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</si>
  <si>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</si>
  <si>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</si>
  <si>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</si>
  <si>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</si>
  <si>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</si>
  <si>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</si>
  <si>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</si>
  <si>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</si>
  <si>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</si>
  <si>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</si>
  <si>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</si>
  <si>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</si>
  <si>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</si>
  <si>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</si>
  <si>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</si>
  <si>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</si>
  <si>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</si>
  <si>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</si>
  <si>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</si>
  <si>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</si>
  <si>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</si>
  <si>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</si>
  <si>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</si>
  <si>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</si>
  <si>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</si>
  <si>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</si>
  <si>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</si>
  <si>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</si>
  <si>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</si>
  <si>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</si>
  <si>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</si>
  <si>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</si>
  <si>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</si>
  <si>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</si>
  <si>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</si>
  <si>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</si>
  <si>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</si>
  <si>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</si>
  <si>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</si>
  <si>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</si>
  <si>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</si>
  <si>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</si>
  <si>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</si>
  <si>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</si>
  <si>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</si>
  <si>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</si>
  <si>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</si>
  <si>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</si>
  <si>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</si>
  <si>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</si>
  <si>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</si>
  <si>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</si>
  <si>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</si>
  <si>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</si>
  <si>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</si>
  <si>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</si>
  <si>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</si>
  <si>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</si>
  <si>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</si>
  <si>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</si>
  <si>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</si>
  <si>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</si>
  <si>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</si>
  <si>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</si>
  <si>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</si>
  <si>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</si>
  <si>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</si>
  <si>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</si>
  <si>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</si>
  <si>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</si>
  <si>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</si>
  <si>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</si>
  <si>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</si>
  <si>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</si>
  <si>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</si>
  <si>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</si>
  <si>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</si>
  <si>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</si>
  <si>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</si>
  <si>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</si>
  <si>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</si>
  <si>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</si>
  <si>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</si>
  <si>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</si>
  <si>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</si>
  <si>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</si>
  <si>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</si>
  <si>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</si>
  <si>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</si>
  <si>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</si>
  <si>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</si>
  <si>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</si>
  <si>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</si>
  <si>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</si>
  <si>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</si>
  <si>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</si>
  <si>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</si>
  <si>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</si>
  <si>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</si>
  <si>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</si>
  <si>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</si>
  <si>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</si>
  <si>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</si>
  <si>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</si>
  <si>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</si>
  <si>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</si>
  <si>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</si>
  <si>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</si>
  <si>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</si>
  <si>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</si>
  <si>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</si>
  <si>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</si>
  <si>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</si>
  <si>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</si>
  <si>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</si>
  <si>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</si>
  <si>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</si>
  <si>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</si>
  <si>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</si>
  <si>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</si>
  <si>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</si>
  <si>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</si>
  <si>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</si>
  <si>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</si>
  <si>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</si>
  <si>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</si>
  <si>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</si>
  <si>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</si>
  <si>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</si>
  <si>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</si>
  <si>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</si>
  <si>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</si>
  <si>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</si>
  <si>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</si>
  <si>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</si>
  <si>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</si>
  <si>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</si>
  <si>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</si>
  <si>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</si>
  <si>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</si>
  <si>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</si>
  <si>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</si>
  <si>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</si>
  <si>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</si>
  <si>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</si>
  <si>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</si>
  <si>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</si>
  <si>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</si>
  <si>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</si>
  <si>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</si>
  <si>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</si>
  <si>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</si>
  <si>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</si>
  <si>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</si>
  <si>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</si>
  <si>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</si>
  <si>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</si>
  <si>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</si>
  <si>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</si>
  <si>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</si>
  <si>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</si>
  <si>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</si>
  <si>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</si>
  <si>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</si>
  <si>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</si>
  <si>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</si>
  <si>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</si>
  <si>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</si>
  <si>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</si>
  <si>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</si>
  <si>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</si>
  <si>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</si>
  <si>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</si>
  <si>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</si>
  <si>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</si>
  <si>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</si>
  <si>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</si>
  <si>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</si>
  <si>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</si>
  <si>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</si>
  <si>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</si>
  <si>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</si>
  <si>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</si>
  <si>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</si>
  <si>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</si>
  <si>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</si>
  <si>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</si>
  <si>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</si>
  <si>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</si>
  <si>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</si>
  <si>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</si>
  <si>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</si>
  <si>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</si>
  <si>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</si>
  <si>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</si>
  <si>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</si>
  <si>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</si>
  <si>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</si>
  <si>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</si>
  <si>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</si>
  <si>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</si>
  <si>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</si>
  <si>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</si>
  <si>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</si>
  <si>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</si>
  <si>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</si>
  <si>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</si>
  <si>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</si>
  <si>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</si>
  <si>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</si>
  <si>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</si>
  <si>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</si>
  <si>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</si>
  <si>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</si>
  <si>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</si>
  <si>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</si>
  <si>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</si>
  <si>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</si>
  <si>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</si>
  <si>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</si>
  <si>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</si>
  <si>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</si>
  <si>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</si>
  <si>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</si>
  <si>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</si>
  <si>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</si>
  <si>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</si>
  <si>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</si>
  <si>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</si>
  <si>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</si>
  <si>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</si>
  <si>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</si>
  <si>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</si>
  <si>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</si>
  <si>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</si>
  <si>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</si>
  <si>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</si>
  <si>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</si>
  <si>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</si>
  <si>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</si>
  <si>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</si>
  <si>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</si>
  <si>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</si>
  <si>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</si>
  <si>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</si>
  <si>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</si>
  <si>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</si>
  <si>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</si>
  <si>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</si>
  <si>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</si>
  <si>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</si>
  <si>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</si>
  <si>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</si>
  <si>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</si>
  <si>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</si>
  <si>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</si>
  <si>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</si>
  <si>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</si>
  <si>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</si>
  <si>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</si>
  <si>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</si>
  <si>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</si>
  <si>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</si>
  <si>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</si>
  <si>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</si>
  <si>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</si>
  <si>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</si>
  <si>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</si>
  <si>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</si>
  <si>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</si>
  <si>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</si>
  <si>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</si>
  <si>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</si>
  <si>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</si>
  <si>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</si>
  <si>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</si>
  <si>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</si>
  <si>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</si>
  <si>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</si>
  <si>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</si>
  <si>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</si>
  <si>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</si>
  <si>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</si>
  <si>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</si>
  <si>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</si>
  <si>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</si>
  <si>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</si>
  <si>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</si>
  <si>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</si>
  <si>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</si>
  <si>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</si>
  <si>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</si>
  <si>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</si>
  <si>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</si>
  <si>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</si>
  <si>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</si>
  <si>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</si>
  <si>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</si>
  <si>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</si>
  <si>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</si>
  <si>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</si>
  <si>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</si>
  <si>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</si>
  <si>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</si>
  <si>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</si>
  <si>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</si>
  <si>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</si>
  <si>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</si>
  <si>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</si>
  <si>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</si>
  <si>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</si>
  <si>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</si>
  <si>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</si>
  <si>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</si>
  <si>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</si>
  <si>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</si>
  <si>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</si>
  <si>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</si>
  <si>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</si>
  <si>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</si>
  <si>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</si>
  <si>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</si>
  <si>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</si>
  <si>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</si>
  <si>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</si>
  <si>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</si>
  <si>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</si>
  <si>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</si>
  <si>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</si>
  <si>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</si>
  <si>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</si>
  <si>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</si>
  <si>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</si>
  <si>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</si>
  <si>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</si>
  <si>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</si>
  <si>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</si>
  <si>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</si>
  <si>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</si>
  <si>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</si>
  <si>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</si>
  <si>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</si>
  <si>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</si>
  <si>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</si>
  <si>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</si>
  <si>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</si>
  <si>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</si>
  <si>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</si>
  <si>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</si>
  <si>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</si>
  <si>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</si>
  <si>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</si>
  <si>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</si>
  <si>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</si>
  <si>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</si>
  <si>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</si>
  <si>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</si>
  <si>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</si>
  <si>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</si>
  <si>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</si>
  <si>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</si>
  <si>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</si>
  <si>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</si>
  <si>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</si>
  <si>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</si>
  <si>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</si>
  <si>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</si>
  <si>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</si>
  <si>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</si>
  <si>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</si>
  <si>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</si>
  <si>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</si>
  <si>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</si>
  <si>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</si>
  <si>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</si>
  <si>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</si>
  <si>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</si>
  <si>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</si>
  <si>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</si>
  <si>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</si>
  <si>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</si>
  <si>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</si>
  <si>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</si>
  <si>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</si>
  <si>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</si>
  <si>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</si>
  <si>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</si>
  <si>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</si>
  <si>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</si>
  <si>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</si>
  <si>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</si>
  <si>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</si>
  <si>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</si>
  <si>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</si>
  <si>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</si>
  <si>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</si>
  <si>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</si>
  <si>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</si>
  <si>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</si>
  <si>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</si>
  <si>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</si>
  <si>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</si>
  <si>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</si>
  <si>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</si>
  <si>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</si>
  <si>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</si>
  <si>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</si>
  <si>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</si>
  <si>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</si>
  <si>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</si>
  <si>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</si>
  <si>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</si>
  <si>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</si>
  <si>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</si>
  <si>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</si>
  <si>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</si>
  <si>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</si>
  <si>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</si>
  <si>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</si>
  <si>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</si>
  <si>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</si>
  <si>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</si>
  <si>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</si>
  <si>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</si>
  <si>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</si>
  <si>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</si>
  <si>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</si>
  <si>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</si>
  <si>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</si>
  <si>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</si>
  <si>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</si>
  <si>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</si>
  <si>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</si>
  <si>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</si>
  <si>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</si>
  <si>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</si>
  <si>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</si>
  <si>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</si>
  <si>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</si>
  <si>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</si>
  <si>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</si>
  <si>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</si>
  <si>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</si>
  <si>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</si>
  <si>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</si>
  <si>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</si>
  <si>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</si>
  <si>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</si>
  <si>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</si>
  <si>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</si>
  <si>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</si>
  <si>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</si>
  <si>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</si>
  <si>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</si>
  <si>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</si>
  <si>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</si>
  <si>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</si>
  <si>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</si>
  <si>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</si>
  <si>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</si>
  <si>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</si>
  <si>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</si>
  <si>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</si>
  <si>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</si>
  <si>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</si>
  <si>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</si>
  <si>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</si>
  <si>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</si>
  <si>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</si>
  <si>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</si>
  <si>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</si>
  <si>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</si>
  <si>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</si>
  <si>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</si>
  <si>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</si>
  <si>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</si>
  <si>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</si>
  <si>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</si>
  <si>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</si>
  <si>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</si>
  <si>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</si>
  <si>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</si>
  <si>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</si>
  <si>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</si>
  <si>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</si>
  <si>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</si>
  <si>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</si>
  <si>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</si>
  <si>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</si>
  <si>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</si>
  <si>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</si>
  <si>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</si>
  <si>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</si>
  <si>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</si>
  <si>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</si>
  <si>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</si>
  <si>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</si>
  <si>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</si>
  <si>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</si>
  <si>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</si>
  <si>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</si>
  <si>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</si>
  <si>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</si>
  <si>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</si>
  <si>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</si>
  <si>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</si>
  <si>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</si>
  <si>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</si>
  <si>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</si>
  <si>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</si>
  <si>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</si>
  <si>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</si>
  <si>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</si>
  <si>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</si>
  <si>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</si>
  <si>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</si>
  <si>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</si>
  <si>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</si>
  <si>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</si>
  <si>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</si>
  <si>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</si>
  <si>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</si>
  <si>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</si>
  <si>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</si>
  <si>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</si>
  <si>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</si>
  <si>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</si>
  <si>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</si>
  <si>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</si>
  <si>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</si>
  <si>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</si>
  <si>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</si>
  <si>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</si>
  <si>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</si>
  <si>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</si>
  <si>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</si>
  <si>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</si>
  <si>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</si>
  <si>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</si>
  <si>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</si>
  <si>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</si>
  <si>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</si>
  <si>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</si>
  <si>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</si>
  <si>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</si>
  <si>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</si>
  <si>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</si>
  <si>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</si>
  <si>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</si>
  <si>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</si>
  <si>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</si>
  <si>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</si>
  <si>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</si>
  <si>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</si>
  <si>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</si>
  <si>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</si>
  <si>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</si>
  <si>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</si>
  <si>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</si>
  <si>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</si>
  <si>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</si>
  <si>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</si>
  <si>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</si>
  <si>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</si>
  <si>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</si>
  <si>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</si>
  <si>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</si>
  <si>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</si>
  <si>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</si>
  <si>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</si>
  <si>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</si>
  <si>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</si>
  <si>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</si>
  <si>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</si>
  <si>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</si>
  <si>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</si>
  <si>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</si>
  <si>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</si>
  <si>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</si>
  <si>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</si>
  <si>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</si>
  <si>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</si>
  <si>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</si>
  <si>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</si>
  <si>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</si>
  <si>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</si>
  <si>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</si>
  <si>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</si>
  <si>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</si>
  <si>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</si>
  <si>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</si>
  <si>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</si>
  <si>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</si>
  <si>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</si>
  <si>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</si>
  <si>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</si>
  <si>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</si>
  <si>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</si>
  <si>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</si>
  <si>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</si>
  <si>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</si>
  <si>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</si>
  <si>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</si>
  <si>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</si>
  <si>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</si>
  <si>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</si>
  <si>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</si>
  <si>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</si>
  <si>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</si>
  <si>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</si>
  <si>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</si>
  <si>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</si>
  <si>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</si>
  <si>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</si>
  <si>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</si>
  <si>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</si>
  <si>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</si>
  <si>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</si>
  <si>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</si>
  <si>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</si>
  <si>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</si>
  <si>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</si>
  <si>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</si>
  <si>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</si>
  <si>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</si>
  <si>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</si>
  <si>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</si>
  <si>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</si>
  <si>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</si>
  <si>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</si>
  <si>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</si>
  <si>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</si>
  <si>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</si>
  <si>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</si>
  <si>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</si>
  <si>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</si>
  <si>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</si>
  <si>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</si>
  <si>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</si>
  <si>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</si>
  <si>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</si>
  <si>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</si>
  <si>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</si>
  <si>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</si>
  <si>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</si>
  <si>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</si>
  <si>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</si>
  <si>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</si>
  <si>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</si>
  <si>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</si>
  <si>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</si>
  <si>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</si>
  <si>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</si>
  <si>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</si>
  <si>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</si>
  <si>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</si>
  <si>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</si>
  <si>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</si>
  <si>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</si>
  <si>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</si>
  <si>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</si>
  <si>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</si>
  <si>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</si>
  <si>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</si>
  <si>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</si>
  <si>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</si>
  <si>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</si>
  <si>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</si>
  <si>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</si>
  <si>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</si>
  <si>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</si>
  <si>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</si>
  <si>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</si>
  <si>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</si>
  <si>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</si>
  <si>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</si>
  <si>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</si>
  <si>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</si>
  <si>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</si>
  <si>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</si>
  <si>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</si>
  <si>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</si>
  <si>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</si>
  <si>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</si>
  <si>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</si>
  <si>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</si>
  <si>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</si>
  <si>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</si>
  <si>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</si>
  <si>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</si>
  <si>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</si>
  <si>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</si>
  <si>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</si>
  <si>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</si>
  <si>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</si>
  <si>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</si>
  <si>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</si>
  <si>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</si>
  <si>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</si>
  <si>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</si>
  <si>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</si>
  <si>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</si>
  <si>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</si>
  <si>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</si>
  <si>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</si>
  <si>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</si>
  <si>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</si>
  <si>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</si>
  <si>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</si>
  <si>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</si>
  <si>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</si>
  <si>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</si>
  <si>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</si>
  <si>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</si>
  <si>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</si>
  <si>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</si>
  <si>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</si>
  <si>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</si>
  <si>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</si>
  <si>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</si>
  <si>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</si>
  <si>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</si>
  <si>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</si>
  <si>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</si>
  <si>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</si>
  <si>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</si>
  <si>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</si>
  <si>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</si>
  <si>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</si>
  <si>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</si>
  <si>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</si>
  <si>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</si>
  <si>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</si>
  <si>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</si>
  <si>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</si>
  <si>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</si>
  <si>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</si>
  <si>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</si>
  <si>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</si>
  <si>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</si>
  <si>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</si>
  <si>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</si>
  <si>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</si>
  <si>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</si>
  <si>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</si>
  <si>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</si>
  <si>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</si>
  <si>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</si>
  <si>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</si>
  <si>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</si>
  <si>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</si>
  <si>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</si>
  <si>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</si>
  <si>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</si>
  <si>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</si>
  <si>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</si>
  <si>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</si>
  <si>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</si>
  <si>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</si>
  <si>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</si>
  <si>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</si>
  <si>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</si>
  <si>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</si>
  <si>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</si>
  <si>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</si>
  <si>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</si>
  <si>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</si>
  <si>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</si>
  <si>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</si>
  <si>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</si>
  <si>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</si>
  <si>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</si>
  <si>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</si>
  <si>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</si>
  <si>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</si>
  <si>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</si>
  <si>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</si>
  <si>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</si>
  <si>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</si>
  <si>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</si>
  <si>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</si>
  <si>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</si>
  <si>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</si>
  <si>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</si>
  <si>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</si>
  <si>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</si>
  <si>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</si>
  <si>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</si>
  <si>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</si>
  <si>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</si>
  <si>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</si>
  <si>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</si>
  <si>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</si>
  <si>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</si>
  <si>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</si>
  <si>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</si>
  <si>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</si>
  <si>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</si>
  <si>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</si>
  <si>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</si>
  <si>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</si>
  <si>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</si>
  <si>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</si>
  <si>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</si>
  <si>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</si>
  <si>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</si>
  <si>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</si>
  <si>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</si>
  <si>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</si>
  <si>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</si>
  <si>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</si>
  <si>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</si>
  <si>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</si>
  <si>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</si>
  <si>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</si>
  <si>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</si>
  <si>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</si>
  <si>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</si>
  <si>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</si>
  <si>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</si>
  <si>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</si>
  <si>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</si>
  <si>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</si>
  <si>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</si>
  <si>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</si>
  <si>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</si>
  <si>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</si>
  <si>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</si>
  <si>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</si>
  <si>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</si>
  <si>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</si>
  <si>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</si>
  <si>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</si>
  <si>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</si>
  <si>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</si>
  <si>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</si>
  <si>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</si>
  <si>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</si>
  <si>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</si>
  <si>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</si>
  <si>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</si>
  <si>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</si>
  <si>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</si>
  <si>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</si>
  <si>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</si>
  <si>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</si>
  <si>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</si>
  <si>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</si>
  <si>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</si>
  <si>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</si>
  <si>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</si>
  <si>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</si>
  <si>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</si>
  <si>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</si>
  <si>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</si>
  <si>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</si>
  <si>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</si>
  <si>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</si>
  <si>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</si>
  <si>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</si>
  <si>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</si>
  <si>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</si>
  <si>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</si>
  <si>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</si>
  <si>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</si>
  <si>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</si>
  <si>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</si>
  <si>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</si>
  <si>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</si>
  <si>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</si>
  <si>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</si>
  <si>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</si>
  <si>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</si>
  <si>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</si>
  <si>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</si>
  <si>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</si>
  <si>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</si>
  <si>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</si>
  <si>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</si>
  <si>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</si>
  <si>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</si>
  <si>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</si>
  <si>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</si>
  <si>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</si>
  <si>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</si>
  <si>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</si>
  <si>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</si>
  <si>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</si>
  <si>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</si>
  <si>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</si>
  <si>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</si>
  <si>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</si>
  <si>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</si>
  <si>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</si>
  <si>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</si>
  <si>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</si>
  <si>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</si>
  <si>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</si>
  <si>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</si>
  <si>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</si>
  <si>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</si>
  <si>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</si>
  <si>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</si>
  <si>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</si>
  <si>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</si>
  <si>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</si>
  <si>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</si>
  <si>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</si>
  <si>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</si>
  <si>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</si>
  <si>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</si>
  <si>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</si>
  <si>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</si>
  <si>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</si>
  <si>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</si>
  <si>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</si>
  <si>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</si>
  <si>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</si>
  <si>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</si>
  <si>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</si>
  <si>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</si>
  <si>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</si>
  <si>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</si>
  <si>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</si>
  <si>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</si>
  <si>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</si>
  <si>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</si>
  <si>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</si>
  <si>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</si>
  <si>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</si>
  <si>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</si>
  <si>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</si>
  <si>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</si>
  <si>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</si>
  <si>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</si>
  <si>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</si>
  <si>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</si>
  <si>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</si>
  <si>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</si>
  <si>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</si>
  <si>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</si>
  <si>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</si>
  <si>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</si>
  <si>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</si>
  <si>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</si>
  <si>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</si>
  <si>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</si>
  <si>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</si>
  <si>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</si>
  <si>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</si>
  <si>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</si>
  <si>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</si>
  <si>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</si>
  <si>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</si>
  <si>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</si>
  <si>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</si>
  <si>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</si>
  <si>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</si>
  <si>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</si>
  <si>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</si>
  <si>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</si>
  <si>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</si>
  <si>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</si>
  <si>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</si>
  <si>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</si>
  <si>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</si>
  <si>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</si>
  <si>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</si>
  <si>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</si>
  <si>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</si>
  <si>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</si>
  <si>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</si>
  <si>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</si>
  <si>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</si>
  <si>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</si>
  <si>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</si>
  <si>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</si>
  <si>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</si>
  <si>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</si>
  <si>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</si>
  <si>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</si>
  <si>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</si>
  <si>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</si>
  <si>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</si>
  <si>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</si>
  <si>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</si>
  <si>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</si>
  <si>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</si>
  <si>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</si>
  <si>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</si>
  <si>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</si>
  <si>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</si>
  <si>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</si>
  <si>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</si>
  <si>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</si>
  <si>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</si>
  <si>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</si>
  <si>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</si>
  <si>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</si>
  <si>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</si>
  <si>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</si>
  <si>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</si>
  <si>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</si>
  <si>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</si>
  <si>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</si>
  <si>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</si>
  <si>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</si>
  <si>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</si>
  <si>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</si>
  <si>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</si>
  <si>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</si>
  <si>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</si>
  <si>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</si>
  <si>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</si>
  <si>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</si>
  <si>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</si>
  <si>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</si>
  <si>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</si>
  <si>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</si>
  <si>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</si>
  <si>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</si>
  <si>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</si>
  <si>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</si>
  <si>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</si>
  <si>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</si>
  <si>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</si>
  <si>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</si>
  <si>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</si>
  <si>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</si>
  <si>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</si>
  <si>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</si>
  <si>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</si>
  <si>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</si>
  <si>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</si>
  <si>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</si>
  <si>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</si>
  <si>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</si>
  <si>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</si>
  <si>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</si>
  <si>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</si>
  <si>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</si>
  <si>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</si>
  <si>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</si>
  <si>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</si>
  <si>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</si>
  <si>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</si>
  <si>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</si>
  <si>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</si>
  <si>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</si>
  <si>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</si>
  <si>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</si>
  <si>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</si>
  <si>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</si>
  <si>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</si>
  <si>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</si>
  <si>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</si>
  <si>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</si>
  <si>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</si>
  <si>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</si>
  <si>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</si>
  <si>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</si>
  <si>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</si>
  <si>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</si>
  <si>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</si>
  <si>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</si>
  <si>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</si>
  <si>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</si>
  <si>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</si>
  <si>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</si>
  <si>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</si>
  <si>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</si>
  <si>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</si>
  <si>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</si>
  <si>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</si>
  <si>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</si>
  <si>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</si>
  <si>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</si>
  <si>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</si>
  <si>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</si>
  <si>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</si>
  <si>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</si>
  <si>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</si>
  <si>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</si>
  <si>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</si>
  <si>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</si>
  <si>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</si>
  <si>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</si>
  <si>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</si>
  <si>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</si>
  <si>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</si>
  <si>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</si>
  <si>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</si>
  <si>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</si>
  <si>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</si>
  <si>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</si>
  <si>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</si>
  <si>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</si>
  <si>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</si>
  <si>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</si>
  <si>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</si>
  <si>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</si>
  <si>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</si>
  <si>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</si>
  <si>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</si>
  <si>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</si>
  <si>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</si>
  <si>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</si>
  <si>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</si>
  <si>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</si>
  <si>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</si>
  <si>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</si>
  <si>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</si>
  <si>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</si>
  <si>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</si>
  <si>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</si>
  <si>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</si>
  <si>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</si>
  <si>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</si>
  <si>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</si>
  <si>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</si>
  <si>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</si>
  <si>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</si>
  <si>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</si>
  <si>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</si>
  <si>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</si>
  <si>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</si>
  <si>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</si>
  <si>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</si>
  <si>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</si>
  <si>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</si>
  <si>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</si>
  <si>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</si>
  <si>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</si>
  <si>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</si>
  <si>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</si>
  <si>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</si>
  <si>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</si>
  <si>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</si>
  <si>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</si>
  <si>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</si>
  <si>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</si>
  <si>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</si>
  <si>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</si>
  <si>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</si>
  <si>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</si>
  <si>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</si>
  <si>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</si>
  <si>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</si>
  <si>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</si>
  <si>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</si>
  <si>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</si>
  <si>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</si>
  <si>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</si>
  <si>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</si>
  <si>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</si>
  <si>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</si>
  <si>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</si>
  <si>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</si>
  <si>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</si>
  <si>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</si>
  <si>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</si>
  <si>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</si>
  <si>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</si>
  <si>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</si>
  <si>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</si>
  <si>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</si>
  <si>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</si>
  <si>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</si>
  <si>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</si>
  <si>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</si>
  <si>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</si>
  <si>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</si>
  <si>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</si>
  <si>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</si>
  <si>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</si>
  <si>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</si>
  <si>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</si>
  <si>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</si>
  <si>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</si>
  <si>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</si>
  <si>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</si>
  <si>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</si>
  <si>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</si>
  <si>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</si>
  <si>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</si>
  <si>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</si>
  <si>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</si>
  <si>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</si>
  <si>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</si>
  <si>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</si>
  <si>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</si>
  <si>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</si>
  <si>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</si>
  <si>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</si>
  <si>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</si>
  <si>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</si>
  <si>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</si>
  <si>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</si>
  <si>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</si>
  <si>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</si>
  <si>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</si>
  <si>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</si>
  <si>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</si>
  <si>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</si>
  <si>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</si>
  <si>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</si>
  <si>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</si>
  <si>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</si>
  <si>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</si>
  <si>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</si>
  <si>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</si>
  <si>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</si>
  <si>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</si>
  <si>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</si>
  <si>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</si>
  <si>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</si>
  <si>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</si>
  <si>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</si>
  <si>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</si>
  <si>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</si>
  <si>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</si>
  <si>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</si>
  <si>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</si>
  <si>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</si>
  <si>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</si>
  <si>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</si>
  <si>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</si>
  <si>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</si>
  <si>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</si>
  <si>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</si>
  <si>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</si>
  <si>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</si>
  <si>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</si>
  <si>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</si>
  <si>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</si>
  <si>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</si>
  <si>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</si>
  <si>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</si>
  <si>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</si>
  <si>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</si>
  <si>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</si>
  <si>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</si>
  <si>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</si>
  <si>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</si>
  <si>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</si>
  <si>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</si>
  <si>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</si>
  <si>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</si>
  <si>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</si>
  <si>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</si>
  <si>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</si>
  <si>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</si>
  <si>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</si>
  <si>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</si>
  <si>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</si>
  <si>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</si>
  <si>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</si>
  <si>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</si>
  <si>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</si>
  <si>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</si>
  <si>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</si>
  <si>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</si>
  <si>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</si>
  <si>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</si>
  <si>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</si>
  <si>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</si>
  <si>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</si>
  <si>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</si>
  <si>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</si>
  <si>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</si>
  <si>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</si>
  <si>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</si>
  <si>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</si>
  <si>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</si>
  <si>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</si>
  <si>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</si>
  <si>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</si>
  <si>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</si>
  <si>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</si>
  <si>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</si>
  <si>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</si>
  <si>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</si>
  <si>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</si>
  <si>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</si>
  <si>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</si>
  <si>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</si>
  <si>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</si>
  <si>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</si>
  <si>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</si>
  <si>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</si>
  <si>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</si>
  <si>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</si>
  <si>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</si>
  <si>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</si>
  <si>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</si>
  <si>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</si>
  <si>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</si>
  <si>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</si>
  <si>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</si>
  <si>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</si>
  <si>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</si>
  <si>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</si>
  <si>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</si>
  <si>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</si>
  <si>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</si>
  <si>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</si>
  <si>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</si>
  <si>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</si>
  <si>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</si>
  <si>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</si>
  <si>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</si>
  <si>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</si>
  <si>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</si>
  <si>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</si>
  <si>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</si>
  <si>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</si>
  <si>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</si>
  <si>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</si>
  <si>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</si>
  <si>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</si>
  <si>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</si>
  <si>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</si>
  <si>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</si>
  <si>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</si>
  <si>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</si>
  <si>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</si>
  <si>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</si>
  <si>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</si>
  <si>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</si>
  <si>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</si>
  <si>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</si>
  <si>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</si>
  <si>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</si>
  <si>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</si>
  <si>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</si>
  <si>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</si>
  <si>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</si>
  <si>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</si>
  <si>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</si>
  <si>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</si>
  <si>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</si>
  <si>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</si>
  <si>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</si>
  <si>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</si>
  <si>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</si>
  <si>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</si>
  <si>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</si>
  <si>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</si>
  <si>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</si>
  <si>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</si>
  <si>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</si>
  <si>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</si>
  <si>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</si>
  <si>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</si>
  <si>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</si>
  <si>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</si>
  <si>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</si>
  <si>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</si>
  <si>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</si>
  <si>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</si>
  <si>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</si>
  <si>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</si>
  <si>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</si>
  <si>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</si>
  <si>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</si>
  <si>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</si>
  <si>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</si>
  <si>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</si>
  <si>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</si>
  <si>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</si>
  <si>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</si>
  <si>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</si>
  <si>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</si>
  <si>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</si>
  <si>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</si>
  <si>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</si>
  <si>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</si>
  <si>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</si>
  <si>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</si>
  <si>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</si>
  <si>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</si>
  <si>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</si>
  <si>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</si>
  <si>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</si>
  <si>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</si>
  <si>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</si>
  <si>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</si>
  <si>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</si>
  <si>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</si>
  <si>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</si>
  <si>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</si>
  <si>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</si>
  <si>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</si>
  <si>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</si>
  <si>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</si>
  <si>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</si>
  <si>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</si>
  <si>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</si>
  <si>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</si>
  <si>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</si>
  <si>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</si>
  <si>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</si>
  <si>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</si>
  <si>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</si>
  <si>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</si>
  <si>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</si>
  <si>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</si>
  <si>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</si>
  <si>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</si>
  <si>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</si>
  <si>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</si>
  <si>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</si>
  <si>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</si>
  <si>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</si>
  <si>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</si>
  <si>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</si>
  <si>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</si>
  <si>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</si>
  <si>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</si>
  <si>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</si>
  <si>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</si>
  <si>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</si>
  <si>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</si>
  <si>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</si>
  <si>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</si>
  <si>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</si>
  <si>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</si>
  <si>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</si>
  <si>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</si>
  <si>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</si>
  <si>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</si>
  <si>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</si>
  <si>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</si>
  <si>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</si>
  <si>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</si>
  <si>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</si>
  <si>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</si>
  <si>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</si>
  <si>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</si>
  <si>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</si>
  <si>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</si>
  <si>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</si>
  <si>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</si>
  <si>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</si>
  <si>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</si>
  <si>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</si>
  <si>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</si>
  <si>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</si>
  <si>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</si>
  <si>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</si>
  <si>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</si>
  <si>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</si>
  <si>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</si>
  <si>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</si>
  <si>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</si>
  <si>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</si>
  <si>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</si>
  <si>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</si>
  <si>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</si>
  <si>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</si>
  <si>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</si>
  <si>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</si>
  <si>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</si>
  <si>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</si>
  <si>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</si>
  <si>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</si>
  <si>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</si>
  <si>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</si>
  <si>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</si>
  <si>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</si>
  <si>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</si>
  <si>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</si>
  <si>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</si>
  <si>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</si>
  <si>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</si>
  <si>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</si>
  <si>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</si>
  <si>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</si>
  <si>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</si>
  <si>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</si>
  <si>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</si>
  <si>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</si>
  <si>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</si>
  <si>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</si>
  <si>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</si>
  <si>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</si>
  <si>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</si>
  <si>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</si>
  <si>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</si>
  <si>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</si>
  <si>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</si>
  <si>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</si>
  <si>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</si>
  <si>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</si>
  <si>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</si>
  <si>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</si>
  <si>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</si>
  <si>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</si>
  <si>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</si>
  <si>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</si>
  <si>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</si>
  <si>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</si>
  <si>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</si>
  <si>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</si>
  <si>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</si>
  <si>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</si>
  <si>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</si>
  <si>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</si>
  <si>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</si>
  <si>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</si>
  <si>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</si>
  <si>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</si>
  <si>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</si>
  <si>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</si>
  <si>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</si>
  <si>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</si>
  <si>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</si>
  <si>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</si>
  <si>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</si>
  <si>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</si>
  <si>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</si>
  <si>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</si>
  <si>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</si>
  <si>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</si>
  <si>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</si>
  <si>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</si>
  <si>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</si>
  <si>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</si>
  <si>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</si>
  <si>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</si>
  <si>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</si>
  <si>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</si>
  <si>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</si>
  <si>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</si>
  <si>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</si>
  <si>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</si>
  <si>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</si>
  <si>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</si>
  <si>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</si>
  <si>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</si>
  <si>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</si>
  <si>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</si>
  <si>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</si>
  <si>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</si>
  <si>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</si>
  <si>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</si>
  <si>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</si>
  <si>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</si>
  <si>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</si>
  <si>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</si>
  <si>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</si>
  <si>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</si>
  <si>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</si>
  <si>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</si>
  <si>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</si>
  <si>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</si>
  <si>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</si>
  <si>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</si>
  <si>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</si>
  <si>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</si>
  <si>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</si>
  <si>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</si>
  <si>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</si>
  <si>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</si>
  <si>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</si>
  <si>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</si>
  <si>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</si>
  <si>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</si>
  <si>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</si>
  <si>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</si>
  <si>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</si>
  <si>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</si>
  <si>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</si>
  <si>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</si>
  <si>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</si>
  <si>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</si>
  <si>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</si>
  <si>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</si>
  <si>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</si>
  <si>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</si>
  <si>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</si>
  <si>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</si>
  <si>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</si>
  <si>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</si>
  <si>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</si>
  <si>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</si>
  <si>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</si>
  <si>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</si>
  <si>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</si>
  <si>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</si>
  <si>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</si>
  <si>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</si>
  <si>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</si>
  <si>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</si>
  <si>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</si>
  <si>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</si>
  <si>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</si>
  <si>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</si>
  <si>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</si>
  <si>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</si>
  <si>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</si>
  <si>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</si>
  <si>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</si>
  <si>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</si>
  <si>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</si>
  <si>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</si>
  <si>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</si>
  <si>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</si>
  <si>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</si>
  <si>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</si>
  <si>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</si>
  <si>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</si>
  <si>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</si>
  <si>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</si>
  <si>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</si>
  <si>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</si>
  <si>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</si>
  <si>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</si>
  <si>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</si>
  <si>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</si>
  <si>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</si>
  <si>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</si>
  <si>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</si>
  <si>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</si>
  <si>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</si>
  <si>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</si>
  <si>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</si>
  <si>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</si>
  <si>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</si>
  <si>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</si>
  <si>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</si>
  <si>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</si>
  <si>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</si>
  <si>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</si>
  <si>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</si>
  <si>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</si>
  <si>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</si>
  <si>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</si>
  <si>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</si>
  <si>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</si>
  <si>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</si>
  <si>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</si>
  <si>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</si>
  <si>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</si>
  <si>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</si>
  <si>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</si>
  <si>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</si>
  <si>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</si>
  <si>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</si>
  <si>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</si>
  <si>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</si>
  <si>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</si>
  <si>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</si>
  <si>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</si>
  <si>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</si>
  <si>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</si>
  <si>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</si>
  <si>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</si>
  <si>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</si>
  <si>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</si>
  <si>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</si>
  <si>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</si>
  <si>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</si>
  <si>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</si>
  <si>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</si>
  <si>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</si>
  <si>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</si>
  <si>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</si>
  <si>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</si>
  <si>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</si>
  <si>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</si>
  <si>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</si>
  <si>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</si>
  <si>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</si>
  <si>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</si>
  <si>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</si>
  <si>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</si>
  <si>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</si>
  <si>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</si>
  <si>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</si>
  <si>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</si>
  <si>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</si>
  <si>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</si>
  <si>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</si>
  <si>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</si>
  <si>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</si>
  <si>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</si>
  <si>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</si>
  <si>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</si>
  <si>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</si>
  <si>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</si>
  <si>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</si>
  <si>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</si>
  <si>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</si>
  <si>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</si>
  <si>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</si>
  <si>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</si>
  <si>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</si>
  <si>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</si>
  <si>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</si>
  <si>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</si>
  <si>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</si>
  <si>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</si>
  <si>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</si>
  <si>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</si>
  <si>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</si>
  <si>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</si>
  <si>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</si>
  <si>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</si>
  <si>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</si>
  <si>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</si>
  <si>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</si>
  <si>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</si>
  <si>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</si>
  <si>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</si>
  <si>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</si>
  <si>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</si>
  <si>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</si>
  <si>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</si>
  <si>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</si>
  <si>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</si>
  <si>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</si>
  <si>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</si>
  <si>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</si>
  <si>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</si>
  <si>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</si>
  <si>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</si>
  <si>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</si>
  <si>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</si>
  <si>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</si>
  <si>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</si>
  <si>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</si>
  <si>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</si>
  <si>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</si>
  <si>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</si>
  <si>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</si>
  <si>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</si>
  <si>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</si>
  <si>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</si>
  <si>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</si>
  <si>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</si>
  <si>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</si>
  <si>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</si>
  <si>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</si>
  <si>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</si>
  <si>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</si>
  <si>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</si>
  <si>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</si>
  <si>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</si>
  <si>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</si>
  <si>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</si>
  <si>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</si>
  <si>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</si>
  <si>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</si>
  <si>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</si>
  <si>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</si>
  <si>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</si>
  <si>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</si>
  <si>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</si>
  <si>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</si>
  <si>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</si>
  <si>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</si>
  <si>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</si>
  <si>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</si>
  <si>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</si>
  <si>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</si>
  <si>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</si>
  <si>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</si>
  <si>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</si>
  <si>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</si>
  <si>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</si>
  <si>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</si>
  <si>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</si>
  <si>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</si>
  <si>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</si>
  <si>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</si>
  <si>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</si>
  <si>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</si>
  <si>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</si>
  <si>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</si>
  <si>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</si>
  <si>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</si>
  <si>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</si>
  <si>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</si>
  <si>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</si>
  <si>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</si>
  <si>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</si>
  <si>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</si>
  <si>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</si>
  <si>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</si>
  <si>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</si>
  <si>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</si>
  <si>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</si>
  <si>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</si>
  <si>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</si>
  <si>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</si>
  <si>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</si>
  <si>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</si>
  <si>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</si>
  <si>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</si>
  <si>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</si>
  <si>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</si>
  <si>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</si>
  <si>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</si>
  <si>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</si>
  <si>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</si>
  <si>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</si>
  <si>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</si>
  <si>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</si>
  <si>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</si>
  <si>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</si>
  <si>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</si>
  <si>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</si>
  <si>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</si>
  <si>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</si>
  <si>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</si>
  <si>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</si>
  <si>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</si>
  <si>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</si>
  <si>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</si>
  <si>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</si>
  <si>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</si>
  <si>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</si>
  <si>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</si>
  <si>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</si>
  <si>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</si>
  <si>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</si>
  <si>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</si>
  <si>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</si>
  <si>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</si>
  <si>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</si>
  <si>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</si>
  <si>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</si>
  <si>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</si>
  <si>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</si>
  <si>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</si>
  <si>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</si>
  <si>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</si>
  <si>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</si>
  <si>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</si>
  <si>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</si>
  <si>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</si>
  <si>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</si>
  <si>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</si>
  <si>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</si>
  <si>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</si>
  <si>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</si>
  <si>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</si>
  <si>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</si>
  <si>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</si>
  <si>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</si>
  <si>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</si>
  <si>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</si>
  <si>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</si>
  <si>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</si>
  <si>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</si>
  <si>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</si>
  <si>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</si>
  <si>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</si>
  <si>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</si>
  <si>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</si>
  <si>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</si>
  <si>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</si>
  <si>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</si>
  <si>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</si>
  <si>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</si>
  <si>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</si>
  <si>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</si>
  <si>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</si>
  <si>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</si>
  <si>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</si>
  <si>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</si>
  <si>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</si>
  <si>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</si>
  <si>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</si>
  <si>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</si>
  <si>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</si>
  <si>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</si>
  <si>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</si>
  <si>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</si>
  <si>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</si>
  <si>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</si>
  <si>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</si>
  <si>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</si>
  <si>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</si>
  <si>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</si>
  <si>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</si>
  <si>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</si>
  <si>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</si>
  <si>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</si>
  <si>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</si>
  <si>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</si>
  <si>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</si>
  <si>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</si>
  <si>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</si>
  <si>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</si>
  <si>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</si>
  <si>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</si>
  <si>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</si>
  <si>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</si>
  <si>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</si>
  <si>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</si>
  <si>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</si>
  <si>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</si>
  <si>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</si>
  <si>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</si>
  <si>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</si>
  <si>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</si>
  <si>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</si>
  <si>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</si>
  <si>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</si>
  <si>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</si>
  <si>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</si>
  <si>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</si>
  <si>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</si>
  <si>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</si>
  <si>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</si>
  <si>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</si>
  <si>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</si>
  <si>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</si>
  <si>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</si>
  <si>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</si>
  <si>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</si>
  <si>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</si>
  <si>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</si>
  <si>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</si>
  <si>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</si>
  <si>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</si>
  <si>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</si>
  <si>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</si>
  <si>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</si>
  <si>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</si>
  <si>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</si>
  <si>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</si>
  <si>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</si>
  <si>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</si>
  <si>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</si>
  <si>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</si>
  <si>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</si>
  <si>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</si>
  <si>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</si>
  <si>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</si>
  <si>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</si>
  <si>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</si>
  <si>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</si>
  <si>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</si>
  <si>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</si>
  <si>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</si>
  <si>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</si>
  <si>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</si>
  <si>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</si>
  <si>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</si>
  <si>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</si>
  <si>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</si>
  <si>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</si>
  <si>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</si>
  <si>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</si>
  <si>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</si>
  <si>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</si>
  <si>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</si>
  <si>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</si>
  <si>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</si>
  <si>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</si>
  <si>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</si>
  <si>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</si>
  <si>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</si>
  <si>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</si>
  <si>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</si>
  <si>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</si>
  <si>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</si>
  <si>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</si>
  <si>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</si>
  <si>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</si>
  <si>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</si>
  <si>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</si>
  <si>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</si>
  <si>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</si>
  <si>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</si>
  <si>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</si>
  <si>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</si>
  <si>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</si>
  <si>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</si>
  <si>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</si>
  <si>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</si>
  <si>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</si>
  <si>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</si>
  <si>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</si>
  <si>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</si>
  <si>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</si>
  <si>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</si>
  <si>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</si>
  <si>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</si>
  <si>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</si>
  <si>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</si>
  <si>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</si>
  <si>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</si>
  <si>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</si>
  <si>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</si>
  <si>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</si>
  <si>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</si>
  <si>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</si>
  <si>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</si>
  <si>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</si>
  <si>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</si>
  <si>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</si>
  <si>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</si>
  <si>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</si>
  <si>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</si>
  <si>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</si>
  <si>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</si>
  <si>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</si>
  <si>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</si>
  <si>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</si>
  <si>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</si>
  <si>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</si>
  <si>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</si>
  <si>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</si>
  <si>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</si>
  <si>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</si>
  <si>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</si>
  <si>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</si>
  <si>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</si>
  <si>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</si>
  <si>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</si>
  <si>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</si>
  <si>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</si>
  <si>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</si>
  <si>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</si>
  <si>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</si>
  <si>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</si>
  <si>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</si>
  <si>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</si>
  <si>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</si>
  <si>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</si>
  <si>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</si>
  <si>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</si>
  <si>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</si>
  <si>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</si>
  <si>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</si>
  <si>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</si>
  <si>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</si>
  <si>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</si>
  <si>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</si>
  <si>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</si>
  <si>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</si>
  <si>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</si>
  <si>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</si>
  <si>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</si>
  <si>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</si>
  <si>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</si>
  <si>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</si>
  <si>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</si>
  <si>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</si>
  <si>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</si>
  <si>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</si>
  <si>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</si>
  <si>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</si>
  <si>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</si>
  <si>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</si>
  <si>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</si>
  <si>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</si>
  <si>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</si>
  <si>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</si>
  <si>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</si>
  <si>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</si>
  <si>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</si>
  <si>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</si>
  <si>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</si>
  <si>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</si>
  <si>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</si>
  <si>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</si>
  <si>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</si>
  <si>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</si>
  <si>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</si>
  <si>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</si>
  <si>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</si>
  <si>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</si>
  <si>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</si>
  <si>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</si>
  <si>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</si>
  <si>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</si>
  <si>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</si>
  <si>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</si>
  <si>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</si>
  <si>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</si>
  <si>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</si>
  <si>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</si>
  <si>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</si>
  <si>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</si>
  <si>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</si>
  <si>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</si>
  <si>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</si>
  <si>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</si>
  <si>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</si>
  <si>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</si>
  <si>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</si>
  <si>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</si>
  <si>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</si>
  <si>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</si>
  <si>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</si>
  <si>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</si>
  <si>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</si>
  <si>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</si>
  <si>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</si>
  <si>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</si>
  <si>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</si>
  <si>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</si>
  <si>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</si>
  <si>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</si>
  <si>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</si>
  <si>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</si>
  <si>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</si>
  <si>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</si>
  <si>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</si>
  <si>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</si>
  <si>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</si>
  <si>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</si>
  <si>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</si>
  <si>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</si>
  <si>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</si>
  <si>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</si>
  <si>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</si>
  <si>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</si>
  <si>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</si>
  <si>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</si>
  <si>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</si>
  <si>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</si>
  <si>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</si>
  <si>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</si>
  <si>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</si>
  <si>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</si>
  <si>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</si>
  <si>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</si>
  <si>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</si>
  <si>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</si>
  <si>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</si>
  <si>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</si>
  <si>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</si>
  <si>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</si>
  <si>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</si>
  <si>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</si>
  <si>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</si>
  <si>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</si>
  <si>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</si>
  <si>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</si>
  <si>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</si>
  <si>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</si>
  <si>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</si>
  <si>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</si>
  <si>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</si>
  <si>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</si>
  <si>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</si>
  <si>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</si>
  <si>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</si>
  <si>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</si>
  <si>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</si>
  <si>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</si>
  <si>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</si>
  <si>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</si>
  <si>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</si>
  <si>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</si>
  <si>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</si>
  <si>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</si>
  <si>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</si>
  <si>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</si>
  <si>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</si>
  <si>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</si>
  <si>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</si>
  <si>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</si>
  <si>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</si>
  <si>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</si>
  <si>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</si>
  <si>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</si>
  <si>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</si>
  <si>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</si>
  <si>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</si>
  <si>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</si>
  <si>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</si>
  <si>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</si>
  <si>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</si>
  <si>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</si>
  <si>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</si>
  <si>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</si>
  <si>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</si>
  <si>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</si>
  <si>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</si>
  <si>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</si>
  <si>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</si>
  <si>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</si>
  <si>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</si>
  <si>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</si>
  <si>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</si>
  <si>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</si>
  <si>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</si>
  <si>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</si>
  <si>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</si>
  <si>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</si>
  <si>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</si>
  <si>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</si>
  <si>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</si>
  <si>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</si>
  <si>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</si>
  <si>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</si>
  <si>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</si>
  <si>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</si>
  <si>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</si>
  <si>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</si>
  <si>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</si>
  <si>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</si>
  <si>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</si>
  <si>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</si>
  <si>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</si>
  <si>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</si>
  <si>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</si>
  <si>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</si>
  <si>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</si>
  <si>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</si>
  <si>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</si>
  <si>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</si>
  <si>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</si>
  <si>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</si>
  <si>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</si>
  <si>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</si>
  <si>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</si>
  <si>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</si>
  <si>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</si>
  <si>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</si>
  <si>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</si>
  <si>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</si>
  <si>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</si>
  <si>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</si>
  <si>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</si>
  <si>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</si>
  <si>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</si>
  <si>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</si>
  <si>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</si>
  <si>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</si>
  <si>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</si>
  <si>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</si>
  <si>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</si>
  <si>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</si>
  <si>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</si>
  <si>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</si>
  <si>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</si>
  <si>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</si>
  <si>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</si>
  <si>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</si>
  <si>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</si>
  <si>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</si>
  <si>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</si>
  <si>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</si>
  <si>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</si>
  <si>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</si>
  <si>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</si>
  <si>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</si>
  <si>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</si>
  <si>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</si>
  <si>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</si>
  <si>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</si>
  <si>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</si>
  <si>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</si>
  <si>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</si>
  <si>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</si>
  <si>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</si>
  <si>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</si>
  <si>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</si>
  <si>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</si>
  <si>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</si>
  <si>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</si>
  <si>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</si>
  <si>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</si>
  <si>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</si>
  <si>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</si>
  <si>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</si>
  <si>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</si>
  <si>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</si>
  <si>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</si>
  <si>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</si>
  <si>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</si>
  <si>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</si>
  <si>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</si>
  <si>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</si>
  <si>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</si>
  <si>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</si>
  <si>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</si>
  <si>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</si>
  <si>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</si>
  <si>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</si>
  <si>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</si>
  <si>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</si>
  <si>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</si>
  <si>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</si>
  <si>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</si>
  <si>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</si>
  <si>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</si>
  <si>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</si>
  <si>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</si>
  <si>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</si>
  <si>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</si>
  <si>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</si>
  <si>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</si>
  <si>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</si>
  <si>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</si>
  <si>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</si>
  <si>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</si>
  <si>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</si>
  <si>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</si>
  <si>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</si>
  <si>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</si>
  <si>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</si>
  <si>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</si>
  <si>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</si>
  <si>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</si>
  <si>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</si>
  <si>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</si>
  <si>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</si>
  <si>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</si>
  <si>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</si>
  <si>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</si>
  <si>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</si>
  <si>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</si>
  <si>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</si>
  <si>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</si>
  <si>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</si>
  <si>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</si>
  <si>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</si>
  <si>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</si>
  <si>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</si>
  <si>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</si>
  <si>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</si>
  <si>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</si>
  <si>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</si>
  <si>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</si>
  <si>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</si>
  <si>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</si>
  <si>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</si>
  <si>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</si>
  <si>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</si>
  <si>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</si>
  <si>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</si>
  <si>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</si>
  <si>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</si>
  <si>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</si>
  <si>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</si>
  <si>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</si>
  <si>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</si>
  <si>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</si>
  <si>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</si>
  <si>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</si>
  <si>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</si>
  <si>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</si>
  <si>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</si>
  <si>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</si>
  <si>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</si>
  <si>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</si>
  <si>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</si>
  <si>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</si>
  <si>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</si>
  <si>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</si>
  <si>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</si>
  <si>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</si>
  <si>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</si>
  <si>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</si>
  <si>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</si>
  <si>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</si>
  <si>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</si>
  <si>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</si>
  <si>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</si>
  <si>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</si>
  <si>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</si>
  <si>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</si>
  <si>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</si>
  <si>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</si>
  <si>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</si>
  <si>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</si>
  <si>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</si>
  <si>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</si>
  <si>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</si>
  <si>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</si>
  <si>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</si>
  <si>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</si>
  <si>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</si>
  <si>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</si>
  <si>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</si>
  <si>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</si>
  <si>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</si>
  <si>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</si>
  <si>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</si>
  <si>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</si>
  <si>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</si>
  <si>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</si>
  <si>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</si>
  <si>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</si>
  <si>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</si>
  <si>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</si>
  <si>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</si>
  <si>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</si>
  <si>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</si>
  <si>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</si>
  <si>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</si>
  <si>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</si>
  <si>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</si>
  <si>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</si>
  <si>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</si>
  <si>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</si>
  <si>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</si>
  <si>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</si>
  <si>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</si>
  <si>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</si>
  <si>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</si>
  <si>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</si>
  <si>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</si>
  <si>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</si>
  <si>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</si>
  <si>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</si>
  <si>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</si>
  <si>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</si>
  <si>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</si>
  <si>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</si>
  <si>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</si>
  <si>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</si>
  <si>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</si>
  <si>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</si>
  <si>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</si>
  <si>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</si>
  <si>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</si>
  <si>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</si>
  <si>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</si>
  <si>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</si>
  <si>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</si>
  <si>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</si>
  <si>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</si>
  <si>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</si>
  <si>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</si>
  <si>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</si>
  <si>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</si>
  <si>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</si>
  <si>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</si>
  <si>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</si>
  <si>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</si>
  <si>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</si>
  <si>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</si>
  <si>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</si>
  <si>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</si>
  <si>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</si>
  <si>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</si>
  <si>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</si>
  <si>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</si>
  <si>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</si>
  <si>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</si>
  <si>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</si>
  <si>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</si>
  <si>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</si>
  <si>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</si>
  <si>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</si>
  <si>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</si>
  <si>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</si>
  <si>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</si>
  <si>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</si>
  <si>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</si>
  <si>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</si>
  <si>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</si>
  <si>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</si>
  <si>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</si>
  <si>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</si>
  <si>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</si>
  <si>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</si>
  <si>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</si>
  <si>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</si>
  <si>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</si>
  <si>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</si>
  <si>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</si>
  <si>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</si>
  <si>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</si>
  <si>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</si>
  <si>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</si>
  <si>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</si>
  <si>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</si>
  <si>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</si>
  <si>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</si>
  <si>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</si>
  <si>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</si>
  <si>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</si>
  <si>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</si>
  <si>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</si>
  <si>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</si>
  <si>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</si>
  <si>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</si>
  <si>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</si>
  <si>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</si>
  <si>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</si>
  <si>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</si>
  <si>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</si>
  <si>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</si>
  <si>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</si>
  <si>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</si>
  <si>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</si>
  <si>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</si>
  <si>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</si>
  <si>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</si>
  <si>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</si>
  <si>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</si>
  <si>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</si>
  <si>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</si>
  <si>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</si>
  <si>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</si>
  <si>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</si>
  <si>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</si>
  <si>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</si>
  <si>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</si>
  <si>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</si>
  <si>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</si>
  <si>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</si>
  <si>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</si>
  <si>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</si>
  <si>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</si>
  <si>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</si>
  <si>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</si>
  <si>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</si>
  <si>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</si>
  <si>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</si>
  <si>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</si>
  <si>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</si>
  <si>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</si>
  <si>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</si>
  <si>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</si>
  <si>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</si>
  <si>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</si>
  <si>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</si>
  <si>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</si>
  <si>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</si>
  <si>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</si>
  <si>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</si>
  <si>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</si>
  <si>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</si>
  <si>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</si>
  <si>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</si>
  <si>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</si>
  <si>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</si>
  <si>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</si>
  <si>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</si>
  <si>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</si>
  <si>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</si>
  <si>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</si>
  <si>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</si>
  <si>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</si>
  <si>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</si>
  <si>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</si>
  <si>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</si>
  <si>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</si>
  <si>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</si>
  <si>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</si>
  <si>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</si>
  <si>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</si>
  <si>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</si>
  <si>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</si>
  <si>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</si>
  <si>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</si>
  <si>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</si>
  <si>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</si>
  <si>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</si>
  <si>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</si>
  <si>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</si>
  <si>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</si>
  <si>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</si>
  <si>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</si>
  <si>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</si>
  <si>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</si>
  <si>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</si>
  <si>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</si>
  <si>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</si>
  <si>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</si>
  <si>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</si>
  <si>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</si>
  <si>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</si>
  <si>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</si>
  <si>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</si>
  <si>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</si>
  <si>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</si>
  <si>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</si>
  <si>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</si>
  <si>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</si>
  <si>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</si>
  <si>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</si>
  <si>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</si>
  <si>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</si>
  <si>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</si>
  <si>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</si>
  <si>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</si>
  <si>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</si>
  <si>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</si>
  <si>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</si>
  <si>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</si>
  <si>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</si>
  <si>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</si>
  <si>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</si>
  <si>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</si>
  <si>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</si>
  <si>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</si>
  <si>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</si>
  <si>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</si>
  <si>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</si>
  <si>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</si>
  <si>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</si>
  <si>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</si>
  <si>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</si>
  <si>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</si>
  <si>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</si>
  <si>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</si>
  <si>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</si>
  <si>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</si>
  <si>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</si>
  <si>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</si>
  <si>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</si>
  <si>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</si>
  <si>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</si>
  <si>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</si>
  <si>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</si>
  <si>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</si>
  <si>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</si>
  <si>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</si>
  <si>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</si>
  <si>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</si>
  <si>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</si>
  <si>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</si>
  <si>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</si>
  <si>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</si>
  <si>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</si>
  <si>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</si>
  <si>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</si>
  <si>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</si>
  <si>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</si>
  <si>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</si>
  <si>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</si>
  <si>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</si>
  <si>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</si>
  <si>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</si>
  <si>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</si>
  <si>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</si>
  <si>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</si>
  <si>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</si>
  <si>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</si>
  <si>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</si>
  <si>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</si>
  <si>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</si>
  <si>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</si>
  <si>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</si>
  <si>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</si>
  <si>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</si>
  <si>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</si>
  <si>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</si>
  <si>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</si>
  <si>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</si>
  <si>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</si>
  <si>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</si>
  <si>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</si>
  <si>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</si>
  <si>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</si>
  <si>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</si>
  <si>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</si>
  <si>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</si>
  <si>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</si>
  <si>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</si>
  <si>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</si>
  <si>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</si>
  <si>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</si>
  <si>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</si>
  <si>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</si>
  <si>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</si>
  <si>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</si>
  <si>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</si>
  <si>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</si>
  <si>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</si>
  <si>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</si>
  <si>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</si>
  <si>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</si>
  <si>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</si>
  <si>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</si>
  <si>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</si>
  <si>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</si>
  <si>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</si>
  <si>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</si>
  <si>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</si>
  <si>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</si>
  <si>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</si>
  <si>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</si>
  <si>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</si>
  <si>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</si>
  <si>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</si>
  <si>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</si>
  <si>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</si>
  <si>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</si>
  <si>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</si>
  <si>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</si>
  <si>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</si>
  <si>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</si>
  <si>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</si>
  <si>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</si>
  <si>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</si>
  <si>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</si>
  <si>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</si>
  <si>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</si>
  <si>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</si>
  <si>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</si>
  <si>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</si>
  <si>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</si>
  <si>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</si>
  <si>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</si>
  <si>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</si>
  <si>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</si>
  <si>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</si>
  <si>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</si>
  <si>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</si>
  <si>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</si>
  <si>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</si>
  <si>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</si>
  <si>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</si>
  <si>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</si>
  <si>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</si>
  <si>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</si>
  <si>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</si>
  <si>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</si>
  <si>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</si>
  <si>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</si>
  <si>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</si>
  <si>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</si>
  <si>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</si>
  <si>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</si>
  <si>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</si>
  <si>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</si>
  <si>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</si>
  <si>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</si>
  <si>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</si>
  <si>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</si>
  <si>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</si>
  <si>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</si>
  <si>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</si>
  <si>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</si>
  <si>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</si>
  <si>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</si>
  <si>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</si>
  <si>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</si>
  <si>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</si>
  <si>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</si>
  <si>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</si>
  <si>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</si>
  <si>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</si>
  <si>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</si>
  <si>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</si>
  <si>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</si>
  <si>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</si>
  <si>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</si>
  <si>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</si>
  <si>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</si>
  <si>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</si>
  <si>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</si>
  <si>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</si>
  <si>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</si>
  <si>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</si>
  <si>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</si>
  <si>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</si>
  <si>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</si>
  <si>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</si>
  <si>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</si>
  <si>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</si>
  <si>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</si>
  <si>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</si>
  <si>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</si>
  <si>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</si>
  <si>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</si>
  <si>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</si>
  <si>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</si>
  <si>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</si>
  <si>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</si>
  <si>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</si>
  <si>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</si>
  <si>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</si>
  <si>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</si>
  <si>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</si>
  <si>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</si>
  <si>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</si>
  <si>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</si>
  <si>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</si>
  <si>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</si>
  <si>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</si>
  <si>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</si>
  <si>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</si>
  <si>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</si>
  <si>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</si>
  <si>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</si>
  <si>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</si>
  <si>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</si>
  <si>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</si>
  <si>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</si>
  <si>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</si>
  <si>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</si>
  <si>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</si>
  <si>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</si>
  <si>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</si>
  <si>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</si>
  <si>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</si>
  <si>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</si>
  <si>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</si>
  <si>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</si>
  <si>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</si>
  <si>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</si>
  <si>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</si>
  <si>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</si>
  <si>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</si>
  <si>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</si>
  <si>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</si>
  <si>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</si>
  <si>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</si>
  <si>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</si>
  <si>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</si>
  <si>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</si>
  <si>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</si>
  <si>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</si>
  <si>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</si>
  <si>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</si>
  <si>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</si>
  <si>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</si>
  <si>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</si>
  <si>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</si>
  <si>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</si>
  <si>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</si>
  <si>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</si>
  <si>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</si>
  <si>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</si>
  <si>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</si>
  <si>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</si>
  <si>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</si>
  <si>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</si>
  <si>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</si>
  <si>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</si>
  <si>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</si>
  <si>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</si>
  <si>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</si>
  <si>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</si>
  <si>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</si>
  <si>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</si>
  <si>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</si>
  <si>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</si>
  <si>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</si>
  <si>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</si>
  <si>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</si>
  <si>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</si>
  <si>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</si>
  <si>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</si>
  <si>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</si>
  <si>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</si>
  <si>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</si>
  <si>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</si>
  <si>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</si>
  <si>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</si>
  <si>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</si>
  <si>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</si>
  <si>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</si>
  <si>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</si>
  <si>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</si>
  <si>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</si>
  <si>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</si>
  <si>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</si>
  <si>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</si>
  <si>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</si>
  <si>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</si>
  <si>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</si>
  <si>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</si>
  <si>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</si>
  <si>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</si>
  <si>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</si>
  <si>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</si>
  <si>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</si>
  <si>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</si>
  <si>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</si>
  <si>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</si>
  <si>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</si>
  <si>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</si>
  <si>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</si>
  <si>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</si>
  <si>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</si>
  <si>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</si>
  <si>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</si>
  <si>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</si>
  <si>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</si>
  <si>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</si>
  <si>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</si>
  <si>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</si>
  <si>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</si>
  <si>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</si>
  <si>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</si>
  <si>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</si>
  <si>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</si>
  <si>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</si>
  <si>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</si>
  <si>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</si>
  <si>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</si>
  <si>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</si>
  <si>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</si>
  <si>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</si>
  <si>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</si>
  <si>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</si>
  <si>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</si>
  <si>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</si>
  <si>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</si>
  <si>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</si>
  <si>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</si>
  <si>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</si>
  <si>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</si>
  <si>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</si>
  <si>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</si>
  <si>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</si>
  <si>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</si>
  <si>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</si>
  <si>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</si>
  <si>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</si>
  <si>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</si>
  <si>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</si>
  <si>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</si>
  <si>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</si>
  <si>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</si>
  <si>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</si>
  <si>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</si>
  <si>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</si>
  <si>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</si>
  <si>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</si>
  <si>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</si>
  <si>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</si>
  <si>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</si>
  <si>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</si>
  <si>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</si>
  <si>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</si>
  <si>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</si>
  <si>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</si>
  <si>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</si>
  <si>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</si>
  <si>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</si>
  <si>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</si>
  <si>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</si>
  <si>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</si>
  <si>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</si>
  <si>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</si>
  <si>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</si>
  <si>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</si>
  <si>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</si>
  <si>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</si>
  <si>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</si>
  <si>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</si>
  <si>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</si>
  <si>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</si>
  <si>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</si>
  <si>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</si>
  <si>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</si>
  <si>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</si>
  <si>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</si>
  <si>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</si>
  <si>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</si>
  <si>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</si>
  <si>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</si>
  <si>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</si>
  <si>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</si>
  <si>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</si>
  <si>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</si>
  <si>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</si>
  <si>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</si>
  <si>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</si>
  <si>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</si>
  <si>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</si>
  <si>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</si>
  <si>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</si>
  <si>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</si>
  <si>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</si>
  <si>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</si>
  <si>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</si>
  <si>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</si>
  <si>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</si>
  <si>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</si>
  <si>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</si>
  <si>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</si>
  <si>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</si>
  <si>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</si>
  <si>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</si>
  <si>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</si>
  <si>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</si>
  <si>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</si>
  <si>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</si>
  <si>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</si>
  <si>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</si>
  <si>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</si>
  <si>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</si>
  <si>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</si>
  <si>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</si>
  <si>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</si>
  <si>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</si>
  <si>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</si>
  <si>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</si>
  <si>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</si>
  <si>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</si>
  <si>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</si>
  <si>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</si>
  <si>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</si>
  <si>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</si>
  <si>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</si>
  <si>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</si>
  <si>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</si>
  <si>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</si>
  <si>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</si>
  <si>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</si>
  <si>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</si>
  <si>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</si>
  <si>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</si>
  <si>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</si>
  <si>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</si>
  <si>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</si>
  <si>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</si>
  <si>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</si>
  <si>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</si>
  <si>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</si>
  <si>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</si>
  <si>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</si>
  <si>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</si>
  <si>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</si>
  <si>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</si>
  <si>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</si>
  <si>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</si>
  <si>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</si>
  <si>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</si>
  <si>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</si>
  <si>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</si>
  <si>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</si>
  <si>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</si>
  <si>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</si>
  <si>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</si>
  <si>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</si>
  <si>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</si>
  <si>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</si>
  <si>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</si>
  <si>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</si>
  <si>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</si>
  <si>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</si>
  <si>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</si>
  <si>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</si>
  <si>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</si>
  <si>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</si>
  <si>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</si>
  <si>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</si>
  <si>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</si>
  <si>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</si>
  <si>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</si>
  <si>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</si>
  <si>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</si>
  <si>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</si>
  <si>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</si>
  <si>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</si>
  <si>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</si>
  <si>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</si>
  <si>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</si>
  <si>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</si>
  <si>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</si>
  <si>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</si>
  <si>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</si>
  <si>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</si>
  <si>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</si>
  <si>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</si>
  <si>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</si>
  <si>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</si>
  <si>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</si>
  <si>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</si>
  <si>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</si>
  <si>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</si>
  <si>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</si>
  <si>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</si>
  <si>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</si>
  <si>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</si>
  <si>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</si>
  <si>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</si>
  <si>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</si>
  <si>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</si>
  <si>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</si>
  <si>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</si>
  <si>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</si>
  <si>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</si>
  <si>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</si>
  <si>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</si>
  <si>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</si>
  <si>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</si>
  <si>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</si>
  <si>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</si>
  <si>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</si>
  <si>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</si>
  <si>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</si>
  <si>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</si>
  <si>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</si>
  <si>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</si>
  <si>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</si>
  <si>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</si>
  <si>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</si>
  <si>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</si>
  <si>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</si>
  <si>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</si>
  <si>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</si>
  <si>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</si>
  <si>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</si>
  <si>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</si>
  <si>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</si>
  <si>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</si>
  <si>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</si>
  <si>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</si>
  <si>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</si>
  <si>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</si>
  <si>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</si>
  <si>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</si>
  <si>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</si>
  <si>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</si>
  <si>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</si>
  <si>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</si>
  <si>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</si>
  <si>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</si>
  <si>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</si>
  <si>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</si>
  <si>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</si>
  <si>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</si>
  <si>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</si>
  <si>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</si>
  <si>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</si>
  <si>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</si>
  <si>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</si>
  <si>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</si>
  <si>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</si>
  <si>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</si>
  <si>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</si>
  <si>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</si>
  <si>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</si>
  <si>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</si>
  <si>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</si>
  <si>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</si>
  <si>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</si>
  <si>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</si>
  <si>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</si>
  <si>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</si>
  <si>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</si>
  <si>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</si>
  <si>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</si>
  <si>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</si>
  <si>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</si>
  <si>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</si>
  <si>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</si>
  <si>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</si>
  <si>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</si>
  <si>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</si>
  <si>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</si>
  <si>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</si>
  <si>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</si>
  <si>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</si>
  <si>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</si>
  <si>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</si>
  <si>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</si>
  <si>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</si>
  <si>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</si>
  <si>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</si>
  <si>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</si>
  <si>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</si>
  <si>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</si>
  <si>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</si>
  <si>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</si>
  <si>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</si>
  <si>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</si>
  <si>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</si>
  <si>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</si>
  <si>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</si>
  <si>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</si>
  <si>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</si>
  <si>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</si>
  <si>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</si>
  <si>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</si>
  <si>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</si>
  <si>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</si>
  <si>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</si>
  <si>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</si>
  <si>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</si>
  <si>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</si>
  <si>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</si>
  <si>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</si>
  <si>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</si>
  <si>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</si>
  <si>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</si>
  <si>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</si>
  <si>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</si>
  <si>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</si>
  <si>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</si>
  <si>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</si>
  <si>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</si>
  <si>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</si>
  <si>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</si>
  <si>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</si>
  <si>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</si>
  <si>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</si>
  <si>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</si>
  <si>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</si>
  <si>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</si>
  <si>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</si>
  <si>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</si>
  <si>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</si>
  <si>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</si>
  <si>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</si>
  <si>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</si>
  <si>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</si>
  <si>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</si>
  <si>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</si>
  <si>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</si>
  <si>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</si>
  <si>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</si>
  <si>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</si>
  <si>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</si>
  <si>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</si>
  <si>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</si>
  <si>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</si>
  <si>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</si>
  <si>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</si>
  <si>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</si>
  <si>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</si>
  <si>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</si>
  <si>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</si>
  <si>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</si>
  <si>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</si>
  <si>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</si>
  <si>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</si>
  <si>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</si>
  <si>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</si>
  <si>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</si>
  <si>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</si>
  <si>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</si>
  <si>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</si>
  <si>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</si>
  <si>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</si>
  <si>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</si>
  <si>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</si>
  <si>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</si>
  <si>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</si>
  <si>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</si>
  <si>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</si>
  <si>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</si>
  <si>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</si>
  <si>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</si>
  <si>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</si>
  <si>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</si>
  <si>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</si>
  <si>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</si>
  <si>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</si>
  <si>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</si>
  <si>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</si>
  <si>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</si>
  <si>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</si>
  <si>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</si>
  <si>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</si>
  <si>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</si>
  <si>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</si>
  <si>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</si>
  <si>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</si>
  <si>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</si>
  <si>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</si>
  <si>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</si>
  <si>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</si>
  <si>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</si>
  <si>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</si>
  <si>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</si>
  <si>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</si>
  <si>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</si>
  <si>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</si>
  <si>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</si>
  <si>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</si>
  <si>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</si>
  <si>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</si>
  <si>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</si>
  <si>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</si>
  <si>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</si>
  <si>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</si>
  <si>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</si>
  <si>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</si>
  <si>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</si>
  <si>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</si>
  <si>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</si>
  <si>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</si>
  <si>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</si>
  <si>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</si>
  <si>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</si>
  <si>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</si>
  <si>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</si>
  <si>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</si>
  <si>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</si>
  <si>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</si>
  <si>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</si>
  <si>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</si>
  <si>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</si>
  <si>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</si>
  <si>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</si>
  <si>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</si>
  <si>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</si>
  <si>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</si>
  <si>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</si>
  <si>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</si>
  <si>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</si>
  <si>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</si>
  <si>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</si>
  <si>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</si>
  <si>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</si>
  <si>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</si>
  <si>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</si>
  <si>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</si>
  <si>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</si>
  <si>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</si>
  <si>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</si>
  <si>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</si>
  <si>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</si>
  <si>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</si>
  <si>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</si>
  <si>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</si>
  <si>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</si>
  <si>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</si>
  <si>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</si>
  <si>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</si>
  <si>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</si>
  <si>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</si>
  <si>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</si>
  <si>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</si>
  <si>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</si>
  <si>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</si>
  <si>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</si>
  <si>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</si>
  <si>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</si>
  <si>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</si>
  <si>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</si>
  <si>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</si>
  <si>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</si>
  <si>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</si>
  <si>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</si>
  <si>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</si>
  <si>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</si>
  <si>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</si>
  <si>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</si>
  <si>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</si>
  <si>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</si>
  <si>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</si>
  <si>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</si>
  <si>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</si>
  <si>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</si>
  <si>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</si>
  <si>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</si>
  <si>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</si>
  <si>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</si>
  <si>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</si>
  <si>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</si>
  <si>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</si>
  <si>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</si>
  <si>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</si>
  <si>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</si>
  <si>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</si>
  <si>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</si>
  <si>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</si>
  <si>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</si>
  <si>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</si>
  <si>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</si>
  <si>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</si>
  <si>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</si>
  <si>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</si>
  <si>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</si>
  <si>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</si>
  <si>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</si>
  <si>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</si>
  <si>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</si>
  <si>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</si>
  <si>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</si>
  <si>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</si>
  <si>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</si>
  <si>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</si>
  <si>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</si>
  <si>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</si>
  <si>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</si>
  <si>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</si>
  <si>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</si>
  <si>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</si>
  <si>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</si>
  <si>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</si>
  <si>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</si>
  <si>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</si>
  <si>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</si>
  <si>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</si>
  <si>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</si>
  <si>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</si>
  <si>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</si>
  <si>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</si>
  <si>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</si>
  <si>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</si>
  <si>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</si>
  <si>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</si>
  <si>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</si>
  <si>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</si>
  <si>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</si>
  <si>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</si>
  <si>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</si>
  <si>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</si>
  <si>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</si>
  <si>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</si>
  <si>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</si>
  <si>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</si>
  <si>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</si>
  <si>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</si>
  <si>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</si>
  <si>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</si>
  <si>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</si>
  <si>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</si>
  <si>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</si>
  <si>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</si>
  <si>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</si>
  <si>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</si>
  <si>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</si>
  <si>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</si>
  <si>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</si>
  <si>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</si>
  <si>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</si>
  <si>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</si>
  <si>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</si>
  <si>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</si>
  <si>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</si>
  <si>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</si>
  <si>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</si>
  <si>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</si>
  <si>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</si>
  <si>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</si>
  <si>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</si>
  <si>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</si>
  <si>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</si>
  <si>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</si>
  <si>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</si>
  <si>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</si>
  <si>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</si>
  <si>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</si>
  <si>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</si>
  <si>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</si>
  <si>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</si>
  <si>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</si>
  <si>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</si>
  <si>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</si>
  <si>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</si>
  <si>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</si>
  <si>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</si>
  <si>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</si>
  <si>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</si>
  <si>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</si>
  <si>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</si>
  <si>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</si>
  <si>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</si>
  <si>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</si>
  <si>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</si>
  <si>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</si>
  <si>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</si>
  <si>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</si>
  <si>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</si>
  <si>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</si>
  <si>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</si>
  <si>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</si>
  <si>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</si>
  <si>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</si>
  <si>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</si>
  <si>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</si>
  <si>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</si>
  <si>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</si>
  <si>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</si>
  <si>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</si>
  <si>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</si>
  <si>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</si>
  <si>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</si>
  <si>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</si>
  <si>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</si>
  <si>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</si>
  <si>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</si>
  <si>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</si>
  <si>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</si>
  <si>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</si>
  <si>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</si>
  <si>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</si>
  <si>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</si>
  <si>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</si>
  <si>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</si>
  <si>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</si>
  <si>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</si>
  <si>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</si>
  <si>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</si>
  <si>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</si>
  <si>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</si>
  <si>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</si>
  <si>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</si>
  <si>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</si>
  <si>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</si>
  <si>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</si>
  <si>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</si>
  <si>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</si>
  <si>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</si>
  <si>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</si>
  <si>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</si>
  <si>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</si>
  <si>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</si>
  <si>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</si>
  <si>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</si>
  <si>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</si>
  <si>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</si>
  <si>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</si>
  <si>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</si>
  <si>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</si>
  <si>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</si>
  <si>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</si>
  <si>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</si>
  <si>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</si>
  <si>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</si>
  <si>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</si>
  <si>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</si>
  <si>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</si>
  <si>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</si>
  <si>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</si>
  <si>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</si>
  <si>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</si>
  <si>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</si>
  <si>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</si>
  <si>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</si>
  <si>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</si>
  <si>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</si>
  <si>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</si>
  <si>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</si>
  <si>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</si>
  <si>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</si>
  <si>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</si>
  <si>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</si>
  <si>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</si>
  <si>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</si>
  <si>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</si>
  <si>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</si>
  <si>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</si>
  <si>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</si>
  <si>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</si>
  <si>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</si>
  <si>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</si>
  <si>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</si>
  <si>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</si>
  <si>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</si>
  <si>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</si>
  <si>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</si>
  <si>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</si>
  <si>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</si>
  <si>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</si>
  <si>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</si>
  <si>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</si>
  <si>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</si>
  <si>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</si>
  <si>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</si>
  <si>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</si>
  <si>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</si>
  <si>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</si>
  <si>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</si>
  <si>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</si>
  <si>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</si>
  <si>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</si>
  <si>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</si>
  <si>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</si>
  <si>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</si>
  <si>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</si>
  <si>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</si>
  <si>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</si>
  <si>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</si>
  <si>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</si>
  <si>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</si>
  <si>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</si>
  <si>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</si>
  <si>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</si>
  <si>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</si>
  <si>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</si>
  <si>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</si>
  <si>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</si>
  <si>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</si>
  <si>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</si>
  <si>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</si>
  <si>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</si>
  <si>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</si>
  <si>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</si>
  <si>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</si>
  <si>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</si>
  <si>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</si>
  <si>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</si>
  <si>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</si>
  <si>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</si>
  <si>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</si>
  <si>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</si>
  <si>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</si>
  <si>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</si>
  <si>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</si>
  <si>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</si>
  <si>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</si>
  <si>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</si>
  <si>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</si>
  <si>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</si>
  <si>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</si>
  <si>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</si>
  <si>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</si>
  <si>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</si>
  <si>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</si>
  <si>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</si>
  <si>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</si>
  <si>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</si>
  <si>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</si>
  <si>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</si>
  <si>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</si>
  <si>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</si>
  <si>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</si>
  <si>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</si>
  <si>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</si>
  <si>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</si>
  <si>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</si>
  <si>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</si>
  <si>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</si>
  <si>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</si>
  <si>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</si>
  <si>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</si>
  <si>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</si>
  <si>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</si>
  <si>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</si>
  <si>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</si>
  <si>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</si>
  <si>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</si>
  <si>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</si>
  <si>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</si>
  <si>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</si>
  <si>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</si>
  <si>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</si>
  <si>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</si>
  <si>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</si>
  <si>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</si>
  <si>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</si>
  <si>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</si>
  <si>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</si>
  <si>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</si>
  <si>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</si>
  <si>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</si>
  <si>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</si>
  <si>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</si>
  <si>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</si>
  <si>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</si>
  <si>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</si>
  <si>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</si>
  <si>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</si>
  <si>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</si>
  <si>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</si>
  <si>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</si>
  <si>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</si>
  <si>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</si>
  <si>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</si>
  <si>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</si>
  <si>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</si>
  <si>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</si>
  <si>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</si>
  <si>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</si>
  <si>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</si>
  <si>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</si>
  <si>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</si>
  <si>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</si>
  <si>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</si>
  <si>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</si>
  <si>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</si>
  <si>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</si>
  <si>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</si>
  <si>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</si>
  <si>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</si>
  <si>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</si>
  <si>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</si>
  <si>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</si>
  <si>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</si>
  <si>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</si>
  <si>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</si>
  <si>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</si>
  <si>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</si>
  <si>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</si>
  <si>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</si>
  <si>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</si>
  <si>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</si>
  <si>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</si>
  <si>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</si>
  <si>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</si>
  <si>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</si>
  <si>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</si>
  <si>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</si>
  <si>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</si>
  <si>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</si>
  <si>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</si>
  <si>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</si>
  <si>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</si>
  <si>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</si>
  <si>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</si>
  <si>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</si>
  <si>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</si>
  <si>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</si>
  <si>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</si>
  <si>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</si>
  <si>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</si>
  <si>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</si>
  <si>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</si>
  <si>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</si>
  <si>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</si>
  <si>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</si>
  <si>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</si>
  <si>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</si>
  <si>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</si>
  <si>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</si>
  <si>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</si>
  <si>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</si>
  <si>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</si>
  <si>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</si>
  <si>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</si>
  <si>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</si>
  <si>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</si>
  <si>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</si>
  <si>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</si>
  <si>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</si>
  <si>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</si>
  <si>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</si>
  <si>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</si>
  <si>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</si>
  <si>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</si>
  <si>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</si>
  <si>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</si>
  <si>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</si>
  <si>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</si>
  <si>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</si>
  <si>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</si>
  <si>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</si>
  <si>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</si>
  <si>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</si>
  <si>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</si>
  <si>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</si>
  <si>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</si>
  <si>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</si>
  <si>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</si>
  <si>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</si>
  <si>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</si>
  <si>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</si>
  <si>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</si>
  <si>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</si>
  <si>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</si>
  <si>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</si>
  <si>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</si>
  <si>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</si>
  <si>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</si>
  <si>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</si>
  <si>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</si>
  <si>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</si>
  <si>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</si>
  <si>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</si>
  <si>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</si>
  <si>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</si>
  <si>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</si>
  <si>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</si>
  <si>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</si>
  <si>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</si>
  <si>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</si>
  <si>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</si>
  <si>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</si>
  <si>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</si>
  <si>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</si>
  <si>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</si>
  <si>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</si>
  <si>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</si>
  <si>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</si>
  <si>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</si>
  <si>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</si>
  <si>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</si>
  <si>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</si>
  <si>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</si>
  <si>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</si>
  <si>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</si>
  <si>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</si>
  <si>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</si>
  <si>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</si>
  <si>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</si>
  <si>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</si>
  <si>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</si>
  <si>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</si>
  <si>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</si>
  <si>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</si>
  <si>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</si>
  <si>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</si>
  <si>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</si>
  <si>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</si>
  <si>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</si>
  <si>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</si>
  <si>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</si>
  <si>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</si>
  <si>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</si>
  <si>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</si>
  <si>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</si>
  <si>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</si>
  <si>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</si>
  <si>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</si>
  <si>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</si>
  <si>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</si>
  <si>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</si>
  <si>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</si>
  <si>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</si>
  <si>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</si>
  <si>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</si>
  <si>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</si>
  <si>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</si>
  <si>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</si>
  <si>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</si>
  <si>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</si>
  <si>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</si>
  <si>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</si>
  <si>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</si>
  <si>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</si>
  <si>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</si>
  <si>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</si>
  <si>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</si>
  <si>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</si>
  <si>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</si>
  <si>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</si>
  <si>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</si>
  <si>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</si>
  <si>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</si>
  <si>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</si>
  <si>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</si>
  <si>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</si>
  <si>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</si>
  <si>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</si>
  <si>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</si>
  <si>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</si>
  <si>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</si>
  <si>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</si>
  <si>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</si>
  <si>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</si>
  <si>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</si>
  <si>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</si>
  <si>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</si>
  <si>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</si>
  <si>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</si>
  <si>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</si>
  <si>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</si>
  <si>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</si>
  <si>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</si>
  <si>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</si>
  <si>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</si>
  <si>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</si>
  <si>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</si>
  <si>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</si>
  <si>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</si>
  <si>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</si>
  <si>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</si>
  <si>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</si>
  <si>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</si>
  <si>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</si>
  <si>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</si>
  <si>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</si>
  <si>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</si>
  <si>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</si>
  <si>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</si>
  <si>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</si>
  <si>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</si>
  <si>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</si>
  <si>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</si>
  <si>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</si>
  <si>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</si>
  <si>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</si>
  <si>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</si>
  <si>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</si>
  <si>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</si>
  <si>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</si>
  <si>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</si>
  <si>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</si>
  <si>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</si>
  <si>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</si>
  <si>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</si>
  <si>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</si>
  <si>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</si>
  <si>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</si>
  <si>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</si>
  <si>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</si>
  <si>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</si>
  <si>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</si>
  <si>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</si>
  <si>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</si>
  <si>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</si>
  <si>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</si>
  <si>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</si>
  <si>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</si>
  <si>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</si>
  <si>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</si>
  <si>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</si>
  <si>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</si>
  <si>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</si>
  <si>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</si>
  <si>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</si>
  <si>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</si>
  <si>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</si>
  <si>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</si>
  <si>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</si>
  <si>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</si>
  <si>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</si>
  <si>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</si>
  <si>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</si>
  <si>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</si>
  <si>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</si>
  <si>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</si>
  <si>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</si>
  <si>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</si>
  <si>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</si>
  <si>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</si>
  <si>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</si>
  <si>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</si>
  <si>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</si>
  <si>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</si>
  <si>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</si>
  <si>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</si>
  <si>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</si>
  <si>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</si>
  <si>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</si>
  <si>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</si>
  <si>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</si>
  <si>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</si>
  <si>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</si>
  <si>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</si>
  <si>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</si>
  <si>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</si>
  <si>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</si>
  <si>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</si>
  <si>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</si>
  <si>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</si>
  <si>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</si>
  <si>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</si>
  <si>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</si>
  <si>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</si>
  <si>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</si>
  <si>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</si>
  <si>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</si>
  <si>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</si>
  <si>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</si>
  <si>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</si>
  <si>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</si>
  <si>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</si>
  <si>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</si>
  <si>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</si>
  <si>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</si>
  <si>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</si>
  <si>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</si>
  <si>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</si>
  <si>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</si>
  <si>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</si>
  <si>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</si>
  <si>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</si>
  <si>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</si>
  <si>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</si>
  <si>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</si>
  <si>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</si>
  <si>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</si>
  <si>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</si>
  <si>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</si>
  <si>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</si>
  <si>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</si>
  <si>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</si>
  <si>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</si>
  <si>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</si>
  <si>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</si>
  <si>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</si>
  <si>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</si>
  <si>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</si>
  <si>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</si>
  <si>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</si>
  <si>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</si>
  <si>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</si>
  <si>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</si>
  <si>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</si>
  <si>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</si>
  <si>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</si>
  <si>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</si>
  <si>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</si>
  <si>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</si>
  <si>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</si>
  <si>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</si>
  <si>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</si>
  <si>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</si>
  <si>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</si>
  <si>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</si>
  <si>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</si>
  <si>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</si>
  <si>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</si>
  <si>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</si>
  <si>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</si>
  <si>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</si>
  <si>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</si>
  <si>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</si>
  <si>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</si>
  <si>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</si>
  <si>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</si>
  <si>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</si>
  <si>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</si>
  <si>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</si>
  <si>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</si>
  <si>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</si>
  <si>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</si>
  <si>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</si>
  <si>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</si>
  <si>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</si>
  <si>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</si>
  <si>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</si>
  <si>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</si>
  <si>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</si>
  <si>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</si>
  <si>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</si>
  <si>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</si>
  <si>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</si>
  <si>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</si>
  <si>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</si>
  <si>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</si>
  <si>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</si>
  <si>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</si>
  <si>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</si>
  <si>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</si>
  <si>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</si>
  <si>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</si>
  <si>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</si>
  <si>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</si>
  <si>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</si>
  <si>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</si>
  <si>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</si>
  <si>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</si>
  <si>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</si>
  <si>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</si>
  <si>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</si>
  <si>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</si>
  <si>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</si>
  <si>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</si>
  <si>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</si>
  <si>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</si>
  <si>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</si>
  <si>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</si>
  <si>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</si>
  <si>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</si>
  <si>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</si>
  <si>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</si>
  <si>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</si>
  <si>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</si>
  <si>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</si>
  <si>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</si>
  <si>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</si>
  <si>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</si>
  <si>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</si>
  <si>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</si>
  <si>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</si>
  <si>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</si>
  <si>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</si>
  <si>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</si>
  <si>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</si>
  <si>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</si>
  <si>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</si>
  <si>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</si>
  <si>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</si>
  <si>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</si>
  <si>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</si>
  <si>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</si>
  <si>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</si>
  <si>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</si>
  <si>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</si>
  <si>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</si>
  <si>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</si>
  <si>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</si>
  <si>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</si>
  <si>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</si>
  <si>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</si>
  <si>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</si>
  <si>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</si>
  <si>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</si>
  <si>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</si>
  <si>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</si>
  <si>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</si>
  <si>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</si>
  <si>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</si>
  <si>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</si>
  <si>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</si>
  <si>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</si>
  <si>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</si>
  <si>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</si>
  <si>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</si>
  <si>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</si>
  <si>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</si>
  <si>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</si>
  <si>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</si>
  <si>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</si>
  <si>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</si>
  <si>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</si>
  <si>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</si>
  <si>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</si>
  <si>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</si>
  <si>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</si>
  <si>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</si>
  <si>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</si>
  <si>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</si>
  <si>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</si>
  <si>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</si>
  <si>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</si>
  <si>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</si>
  <si>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</si>
  <si>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</si>
  <si>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</si>
  <si>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</si>
  <si>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</si>
  <si>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</si>
  <si>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</si>
  <si>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</si>
  <si>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</si>
  <si>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</si>
  <si>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</si>
  <si>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</si>
  <si>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</si>
  <si>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</si>
  <si>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</si>
  <si>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</si>
  <si>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</si>
  <si>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</si>
  <si>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</si>
  <si>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</si>
  <si>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</si>
  <si>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</si>
  <si>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</si>
  <si>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</si>
  <si>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</si>
  <si>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</si>
  <si>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</si>
  <si>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</si>
  <si>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</si>
  <si>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</si>
  <si>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</si>
  <si>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</si>
  <si>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</si>
  <si>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</si>
  <si>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</si>
  <si>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</si>
  <si>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</si>
  <si>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</si>
  <si>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</si>
  <si>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</si>
  <si>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</si>
  <si>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</si>
  <si>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</si>
  <si>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</si>
  <si>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</si>
  <si>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</si>
  <si>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</si>
  <si>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</si>
  <si>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</si>
  <si>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</si>
  <si>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</si>
  <si>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</si>
  <si>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</si>
  <si>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</si>
  <si>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</si>
  <si>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</si>
  <si>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</si>
  <si>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</si>
  <si>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</si>
  <si>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</si>
  <si>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</si>
  <si>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</si>
  <si>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</si>
  <si>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</si>
  <si>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</si>
  <si>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</si>
  <si>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</si>
  <si>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</si>
  <si>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</si>
  <si>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</si>
  <si>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</si>
  <si>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</si>
  <si>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</si>
  <si>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</si>
  <si>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</si>
  <si>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</si>
  <si>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</si>
  <si>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</si>
  <si>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</si>
  <si>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</si>
  <si>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</si>
  <si>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</si>
  <si>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</si>
  <si>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</si>
  <si>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</si>
  <si>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</si>
  <si>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</si>
  <si>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</si>
  <si>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</si>
  <si>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</si>
  <si>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</si>
  <si>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</si>
  <si>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</si>
  <si>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</si>
  <si>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</si>
  <si>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</si>
  <si>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</si>
  <si>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</si>
  <si>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</si>
  <si>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</si>
  <si>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</si>
  <si>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</si>
  <si>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</si>
  <si>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</si>
  <si>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</si>
  <si>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</si>
  <si>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</si>
  <si>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</si>
  <si>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</si>
  <si>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</si>
  <si>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</si>
  <si>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</si>
  <si>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</si>
  <si>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</si>
  <si>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</si>
  <si>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</si>
  <si>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</si>
  <si>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</si>
  <si>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</si>
  <si>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</si>
  <si>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</si>
  <si>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</si>
  <si>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</si>
  <si>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</si>
  <si>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</si>
  <si>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</si>
  <si>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</si>
  <si>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</si>
  <si>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</si>
  <si>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</si>
  <si>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</si>
  <si>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</si>
  <si>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</si>
  <si>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</si>
  <si>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</si>
  <si>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</si>
  <si>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</si>
  <si>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</si>
  <si>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</si>
  <si>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</si>
  <si>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</si>
  <si>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</si>
  <si>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</si>
  <si>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</si>
  <si>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</si>
  <si>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</si>
  <si>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</si>
  <si>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</si>
  <si>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</si>
  <si>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</si>
  <si>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</si>
  <si>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</si>
  <si>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</si>
  <si>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</si>
  <si>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</si>
  <si>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</si>
  <si>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</si>
  <si>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</si>
  <si>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</si>
  <si>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</si>
  <si>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</si>
  <si>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</si>
  <si>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</si>
  <si>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</si>
  <si>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</si>
  <si>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</si>
  <si>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</si>
  <si>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</si>
  <si>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</si>
  <si>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</si>
  <si>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</si>
  <si>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</si>
  <si>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</si>
  <si>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</si>
  <si>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</si>
  <si>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</si>
  <si>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</si>
  <si>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</si>
  <si>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</si>
  <si>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</si>
  <si>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</si>
  <si>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</si>
  <si>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</si>
  <si>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</si>
  <si>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</si>
  <si>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</si>
  <si>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</si>
  <si>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</si>
  <si>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</si>
  <si>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</si>
  <si>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</si>
  <si>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</si>
  <si>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</si>
  <si>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</si>
  <si>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</si>
  <si>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</si>
  <si>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</si>
  <si>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</si>
  <si>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</si>
  <si>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</si>
  <si>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</si>
  <si>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</si>
  <si>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</si>
  <si>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</si>
  <si>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</si>
  <si>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</si>
  <si>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</si>
  <si>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</si>
  <si>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</si>
  <si>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</si>
  <si>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</si>
  <si>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</si>
  <si>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</si>
  <si>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</si>
  <si>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</si>
  <si>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</si>
  <si>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</si>
  <si>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</si>
  <si>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</si>
  <si>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</si>
  <si>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</si>
  <si>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</si>
  <si>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</si>
  <si>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</si>
  <si>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</si>
  <si>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</si>
  <si>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</si>
  <si>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</si>
  <si>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</si>
  <si>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</si>
  <si>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</si>
  <si>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</si>
  <si>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</si>
  <si>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</si>
  <si>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</si>
  <si>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</si>
  <si>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</si>
  <si>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</si>
  <si>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</si>
  <si>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</si>
  <si>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</si>
  <si>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</si>
  <si>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</si>
  <si>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</si>
  <si>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</si>
  <si>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</si>
  <si>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</si>
  <si>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</si>
  <si>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</si>
  <si>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</si>
  <si>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</si>
  <si>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</si>
  <si>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</si>
  <si>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</si>
  <si>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</si>
  <si>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</si>
  <si>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</si>
  <si>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</si>
  <si>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</si>
  <si>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</si>
  <si>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</si>
  <si>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</si>
  <si>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</si>
  <si>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</si>
  <si>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</si>
  <si>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</si>
  <si>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</si>
  <si>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</si>
  <si>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</si>
  <si>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</si>
  <si>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</si>
  <si>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</si>
  <si>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</si>
  <si>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</si>
  <si>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</si>
  <si>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</si>
  <si>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</si>
  <si>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</si>
  <si>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</si>
  <si>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</si>
  <si>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</si>
  <si>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</si>
  <si>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</si>
  <si>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</si>
  <si>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</si>
  <si>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</si>
  <si>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</si>
  <si>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</si>
  <si>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</si>
  <si>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</si>
  <si>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</si>
  <si>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</si>
  <si>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</si>
  <si>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</si>
  <si>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</si>
  <si>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</si>
  <si>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</si>
  <si>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</si>
  <si>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</si>
  <si>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</si>
  <si>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</si>
  <si>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</si>
  <si>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</si>
  <si>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</si>
  <si>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</si>
  <si>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</si>
  <si>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</si>
  <si>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</si>
  <si>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</si>
  <si>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</si>
  <si>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</si>
  <si>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</si>
  <si>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</si>
  <si>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</si>
  <si>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</si>
  <si>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</si>
  <si>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</si>
  <si>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</si>
  <si>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</si>
  <si>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</si>
  <si>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</si>
  <si>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</si>
  <si>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</si>
  <si>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</si>
  <si>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</si>
  <si>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</si>
  <si>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</si>
  <si>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</si>
  <si>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</si>
  <si>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</si>
  <si>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</si>
  <si>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</si>
  <si>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</si>
  <si>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</si>
  <si>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</si>
  <si>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</si>
  <si>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</si>
  <si>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</si>
  <si>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</si>
  <si>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</si>
  <si>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</si>
  <si>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</si>
  <si>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</si>
  <si>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</si>
  <si>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</si>
  <si>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</si>
  <si>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</si>
  <si>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</si>
  <si>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</si>
  <si>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</si>
  <si>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</si>
  <si>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</si>
  <si>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</si>
  <si>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</si>
  <si>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</si>
  <si>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</si>
  <si>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</si>
  <si>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</si>
  <si>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</si>
  <si>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</si>
  <si>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</si>
  <si>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</si>
  <si>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</si>
  <si>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</si>
  <si>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</si>
  <si>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</si>
  <si>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</si>
  <si>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</si>
  <si>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</si>
  <si>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</si>
  <si>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</si>
  <si>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</si>
  <si>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</si>
  <si>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</si>
  <si>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</si>
  <si>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</si>
  <si>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</si>
  <si>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</si>
  <si>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</si>
  <si>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</si>
  <si>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</si>
  <si>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</si>
  <si>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</si>
  <si>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</si>
  <si>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</si>
  <si>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</si>
  <si>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</si>
  <si>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</si>
  <si>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</si>
  <si>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</si>
  <si>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</si>
  <si>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</si>
  <si>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</si>
  <si>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</si>
  <si>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</si>
  <si>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</si>
  <si>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</si>
  <si>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</si>
  <si>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</si>
  <si>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</si>
  <si>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</si>
  <si>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</si>
  <si>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</si>
  <si>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</si>
  <si>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</si>
  <si>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</si>
  <si>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</si>
  <si>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</si>
  <si>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</si>
  <si>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</si>
  <si>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</si>
  <si>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</si>
  <si>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</si>
  <si>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</si>
  <si>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</si>
  <si>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</si>
  <si>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</si>
  <si>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</si>
  <si>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</si>
  <si>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</si>
  <si>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</si>
  <si>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</si>
  <si>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</si>
  <si>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</si>
  <si>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</si>
  <si>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</si>
  <si>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</si>
  <si>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</si>
  <si>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</si>
  <si>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</si>
  <si>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</si>
  <si>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</si>
  <si>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</si>
  <si>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</si>
  <si>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</si>
  <si>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</si>
  <si>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</si>
  <si>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</si>
  <si>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</si>
  <si>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</si>
  <si>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</si>
  <si>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</si>
  <si>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</si>
  <si>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</si>
  <si>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</si>
  <si>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</si>
  <si>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</si>
  <si>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</si>
  <si>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</si>
  <si>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</si>
  <si>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</si>
  <si>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</si>
  <si>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</si>
  <si>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</si>
  <si>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</si>
  <si>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</si>
  <si>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</si>
  <si>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</si>
  <si>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</si>
  <si>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</si>
  <si>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</si>
  <si>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</si>
  <si>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</si>
  <si>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</si>
  <si>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</si>
  <si>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</si>
  <si>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</si>
  <si>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</si>
  <si>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</si>
  <si>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</si>
  <si>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</si>
  <si>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</si>
  <si>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</si>
  <si>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</si>
  <si>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</si>
  <si>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</si>
  <si>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</si>
  <si>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</si>
  <si>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</si>
  <si>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</si>
  <si>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</si>
  <si>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</si>
  <si>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</si>
  <si>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</si>
  <si>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</si>
  <si>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</si>
  <si>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</si>
  <si>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</si>
  <si>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</si>
  <si>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</si>
  <si>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</si>
  <si>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</si>
  <si>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</si>
  <si>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</si>
  <si>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</si>
  <si>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</si>
  <si>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</si>
  <si>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</si>
  <si>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</si>
  <si>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</si>
  <si>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</si>
  <si>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</si>
  <si>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</si>
  <si>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</si>
  <si>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</si>
  <si>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</si>
  <si>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</si>
  <si>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</si>
  <si>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</si>
  <si>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</si>
  <si>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</si>
  <si>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</si>
  <si>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</si>
  <si>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</si>
  <si>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</si>
  <si>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</si>
  <si>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</si>
  <si>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</si>
  <si>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</si>
  <si>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</si>
  <si>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</si>
  <si>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</si>
  <si>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</si>
  <si>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</si>
  <si>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</si>
  <si>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</si>
  <si>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</si>
  <si>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</si>
  <si>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</si>
  <si>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</si>
  <si>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</si>
  <si>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</si>
  <si>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</si>
  <si>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</si>
  <si>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</si>
  <si>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</si>
  <si>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</si>
  <si>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</si>
  <si>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</si>
  <si>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</si>
  <si>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</si>
  <si>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</si>
  <si>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</si>
  <si>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</si>
  <si>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</si>
  <si>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</si>
  <si>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</si>
  <si>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</si>
  <si>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</si>
  <si>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</si>
  <si>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</si>
  <si>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</si>
  <si>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</si>
  <si>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</si>
  <si>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</si>
  <si>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</si>
  <si>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</si>
  <si>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</si>
  <si>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</si>
  <si>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</si>
  <si>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</si>
  <si>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</si>
  <si>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</si>
  <si>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</si>
  <si>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</si>
  <si>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</si>
  <si>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</si>
  <si>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</si>
  <si>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</si>
  <si>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</si>
  <si>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</si>
  <si>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</si>
  <si>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</si>
  <si>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</si>
  <si>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</si>
  <si>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</si>
  <si>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</si>
  <si>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</si>
  <si>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</si>
  <si>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</si>
  <si>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</si>
  <si>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</si>
  <si>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</si>
  <si>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</si>
  <si>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</si>
  <si>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</si>
  <si>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</si>
  <si>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</si>
  <si>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</si>
  <si>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</si>
  <si>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</si>
  <si>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</si>
  <si>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</si>
  <si>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</si>
  <si>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</si>
  <si>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</si>
  <si>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</si>
  <si>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</si>
  <si>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</si>
  <si>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</si>
  <si>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</si>
  <si>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</si>
  <si>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</si>
  <si>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</si>
  <si>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</si>
  <si>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</si>
  <si>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</si>
  <si>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</si>
  <si>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</si>
  <si>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</si>
  <si>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</si>
  <si>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</si>
  <si>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</si>
  <si>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</si>
  <si>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</si>
  <si>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</si>
  <si>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</si>
  <si>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</si>
  <si>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</si>
  <si>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</si>
  <si>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</si>
  <si>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</si>
  <si>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</si>
  <si>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</si>
  <si>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</si>
  <si>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</si>
  <si>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</si>
  <si>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</si>
  <si>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</si>
  <si>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</si>
  <si>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</si>
  <si>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</si>
  <si>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</si>
  <si>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</si>
  <si>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</si>
  <si>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</si>
  <si>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</si>
  <si>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</si>
  <si>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</si>
  <si>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</si>
  <si>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</si>
  <si>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</si>
  <si>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</si>
  <si>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</si>
  <si>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</si>
  <si>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</si>
  <si>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</si>
  <si>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</si>
  <si>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</si>
  <si>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</si>
  <si>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</si>
  <si>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</si>
  <si>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</si>
  <si>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</si>
  <si>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</si>
  <si>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</si>
  <si>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</si>
  <si>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</si>
  <si>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</si>
  <si>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</si>
  <si>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</si>
  <si>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</si>
  <si>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</si>
  <si>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</si>
  <si>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</si>
  <si>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</si>
  <si>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</si>
  <si>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</si>
  <si>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</si>
  <si>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</si>
  <si>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</si>
  <si>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</si>
  <si>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</si>
  <si>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</si>
  <si>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</si>
  <si>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</si>
  <si>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</si>
  <si>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</si>
  <si>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</si>
  <si>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</si>
  <si>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</si>
  <si>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</si>
  <si>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</si>
  <si>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</si>
  <si>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</si>
  <si>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</si>
  <si>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</si>
  <si>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</si>
  <si>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</si>
  <si>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</si>
  <si>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</si>
  <si>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</si>
  <si>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</si>
  <si>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</si>
  <si>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</si>
  <si>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</si>
  <si>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</si>
  <si>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</si>
  <si>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</si>
  <si>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</si>
  <si>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</si>
  <si>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</si>
  <si>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</si>
  <si>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</si>
  <si>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</si>
  <si>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</si>
  <si>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</si>
  <si>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</si>
  <si>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</si>
  <si>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</si>
  <si>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</si>
  <si>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</si>
  <si>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</si>
  <si>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</si>
  <si>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</si>
  <si>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</si>
  <si>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</si>
  <si>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</si>
  <si>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</si>
  <si>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</si>
  <si>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</si>
  <si>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</si>
  <si>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</si>
  <si>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</si>
  <si>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</si>
  <si>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</si>
  <si>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</si>
  <si>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</si>
  <si>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</si>
  <si>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</si>
  <si>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</si>
  <si>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</si>
  <si>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</si>
  <si>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</si>
  <si>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</si>
  <si>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</si>
  <si>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</si>
  <si>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</si>
  <si>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</si>
  <si>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</si>
  <si>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</si>
  <si>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</si>
  <si>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</si>
  <si>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</si>
  <si>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</si>
  <si>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</si>
  <si>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</si>
  <si>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</si>
  <si>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</si>
  <si>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</si>
  <si>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</si>
  <si>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</si>
  <si>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</si>
  <si>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</si>
  <si>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</si>
  <si>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</si>
  <si>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</si>
  <si>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</si>
  <si>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</si>
  <si>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</si>
  <si>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</si>
  <si>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</si>
  <si>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</si>
  <si>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</si>
  <si>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</si>
  <si>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</si>
  <si>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</si>
  <si>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</si>
  <si>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</si>
  <si>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</si>
  <si>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</si>
  <si>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</si>
  <si>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</si>
  <si>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</si>
  <si>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</si>
  <si>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</si>
  <si>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</si>
  <si>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</si>
  <si>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</si>
  <si>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</si>
  <si>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</si>
  <si>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</si>
  <si>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</si>
  <si>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</si>
  <si>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</si>
  <si>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</si>
  <si>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</si>
  <si>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</si>
  <si>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</si>
  <si>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</si>
  <si>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</si>
  <si>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</si>
  <si>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</si>
  <si>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</si>
  <si>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</si>
  <si>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</si>
  <si>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</si>
  <si>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</si>
  <si>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</si>
  <si>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</si>
  <si>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</si>
  <si>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</si>
  <si>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</si>
  <si>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</si>
  <si>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</si>
  <si>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</si>
  <si>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</si>
  <si>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</si>
  <si>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</si>
  <si>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</si>
  <si>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</si>
  <si>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</si>
  <si>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</si>
  <si>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</si>
  <si>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</si>
  <si>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</si>
  <si>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</si>
  <si>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</si>
  <si>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</si>
  <si>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</si>
  <si>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</si>
  <si>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</si>
  <si>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</si>
  <si>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</si>
  <si>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</si>
  <si>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</si>
  <si>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</si>
  <si>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</si>
  <si>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</si>
  <si>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</si>
  <si>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</si>
  <si>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</si>
  <si>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</si>
  <si>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</si>
  <si>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</si>
  <si>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</si>
  <si>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</si>
  <si>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</si>
  <si>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</si>
  <si>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</si>
  <si>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</si>
  <si>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</si>
  <si>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</si>
  <si>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</si>
  <si>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</si>
  <si>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</si>
  <si>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</si>
  <si>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</si>
  <si>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</si>
  <si>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</si>
  <si>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</si>
  <si>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</si>
  <si>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</si>
  <si>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</si>
  <si>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</si>
  <si>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</si>
  <si>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</si>
  <si>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</si>
  <si>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</si>
  <si>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</si>
  <si>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</si>
  <si>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</si>
  <si>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</si>
  <si>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</si>
  <si>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</si>
  <si>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</si>
  <si>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</si>
  <si>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</si>
  <si>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</si>
  <si>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</si>
  <si>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</si>
  <si>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</si>
  <si>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</si>
  <si>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</si>
  <si>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</si>
  <si>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</si>
  <si>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</si>
  <si>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</si>
  <si>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</si>
  <si>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</si>
  <si>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</si>
  <si>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</si>
  <si>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</si>
  <si>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</si>
  <si>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</si>
  <si>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</si>
  <si>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</si>
  <si>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</si>
  <si>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</si>
  <si>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</si>
  <si>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</si>
  <si>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</si>
  <si>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</si>
  <si>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</si>
  <si>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</si>
  <si>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</si>
  <si>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</si>
  <si>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</si>
  <si>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</si>
  <si>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</si>
  <si>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</si>
  <si>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</si>
  <si>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</si>
  <si>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</si>
  <si>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</si>
  <si>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</si>
  <si>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</si>
  <si>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</si>
  <si>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</si>
  <si>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</si>
  <si>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</si>
  <si>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</si>
  <si>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</si>
  <si>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</si>
  <si>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</si>
  <si>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</si>
  <si>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</si>
  <si>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</si>
  <si>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</si>
  <si>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</si>
  <si>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</si>
  <si>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</si>
  <si>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</si>
  <si>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</si>
  <si>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</si>
  <si>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</si>
  <si>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</si>
  <si>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</si>
  <si>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</si>
  <si>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</si>
  <si>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</si>
  <si>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</si>
  <si>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</si>
  <si>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</si>
  <si>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</si>
  <si>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</si>
  <si>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</si>
  <si>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</si>
  <si>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</si>
  <si>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</si>
  <si>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</si>
  <si>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</si>
  <si>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</si>
  <si>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</si>
  <si>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</si>
  <si>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</si>
  <si>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</si>
  <si>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</si>
  <si>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</si>
  <si>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</si>
  <si>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</si>
  <si>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</si>
  <si>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</si>
  <si>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</si>
  <si>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</si>
  <si>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</si>
  <si>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</si>
  <si>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</si>
  <si>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</si>
  <si>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</si>
  <si>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</si>
  <si>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</si>
  <si>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</si>
  <si>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</si>
  <si>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</si>
  <si>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</si>
  <si>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</si>
  <si>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</si>
  <si>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</si>
  <si>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</si>
  <si>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</si>
  <si>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</si>
  <si>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</si>
  <si>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</si>
  <si>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</si>
  <si>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</si>
  <si>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</si>
  <si>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</si>
  <si>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</si>
  <si>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</si>
  <si>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</si>
  <si>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</si>
  <si>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</si>
  <si>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</si>
  <si>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</si>
  <si>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</si>
  <si>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</si>
  <si>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</si>
  <si>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</si>
  <si>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</si>
  <si>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</si>
  <si>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</si>
  <si>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</si>
  <si>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</si>
  <si>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</si>
  <si>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</si>
  <si>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</si>
  <si>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</si>
  <si>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</si>
  <si>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</si>
  <si>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</si>
  <si>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</si>
  <si>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</si>
  <si>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</si>
  <si>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</si>
  <si>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</si>
  <si>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</si>
  <si>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</si>
  <si>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</si>
  <si>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</si>
  <si>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</si>
  <si>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</si>
  <si>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</si>
  <si>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</si>
  <si>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</si>
  <si>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</si>
  <si>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</si>
  <si>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</si>
  <si>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</si>
  <si>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</si>
  <si>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</si>
  <si>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</si>
  <si>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</si>
  <si>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</si>
  <si>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</si>
  <si>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</si>
  <si>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</si>
  <si>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</si>
  <si>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</si>
  <si>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</si>
  <si>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</si>
  <si>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</si>
  <si>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</si>
  <si>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</si>
  <si>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</si>
  <si>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</si>
  <si>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</si>
  <si>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</si>
  <si>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</si>
  <si>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</si>
  <si>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</si>
  <si>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</si>
  <si>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</si>
  <si>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</si>
  <si>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</si>
  <si>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</si>
  <si>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</si>
  <si>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</si>
  <si>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</si>
  <si>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</si>
  <si>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</si>
  <si>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</si>
  <si>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</si>
  <si>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</si>
  <si>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</si>
  <si>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</si>
  <si>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</si>
  <si>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</si>
  <si>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</si>
  <si>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</si>
  <si>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</si>
  <si>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</si>
  <si>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</si>
  <si>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</si>
  <si>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</si>
  <si>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</si>
  <si>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</si>
  <si>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</si>
  <si>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</si>
  <si>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</si>
  <si>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</si>
  <si>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</si>
  <si>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</si>
  <si>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</si>
  <si>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</si>
  <si>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</si>
  <si>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</si>
  <si>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</si>
  <si>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</si>
  <si>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</si>
  <si>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</si>
  <si>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</si>
  <si>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</si>
  <si>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</si>
  <si>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</si>
  <si>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</si>
  <si>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</si>
  <si>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</si>
  <si>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</si>
  <si>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</si>
  <si>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</si>
  <si>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</si>
  <si>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</si>
  <si>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</si>
  <si>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</si>
  <si>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</si>
  <si>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</si>
  <si>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</si>
  <si>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</si>
  <si>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</si>
  <si>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</si>
  <si>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</si>
  <si>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</si>
  <si>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</si>
  <si>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</si>
  <si>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</si>
  <si>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</si>
  <si>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</si>
  <si>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</si>
  <si>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</si>
  <si>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</si>
  <si>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</si>
  <si>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</si>
  <si>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</si>
  <si>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</si>
  <si>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</si>
  <si>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</si>
  <si>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</si>
  <si>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</si>
  <si>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</si>
  <si>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</si>
  <si>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</si>
  <si>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</si>
  <si>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</si>
  <si>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</si>
  <si>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</si>
  <si>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</si>
  <si>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</si>
  <si>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</si>
  <si>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</si>
  <si>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</si>
  <si>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</si>
  <si>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</si>
  <si>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</si>
  <si>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</si>
  <si>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</si>
  <si>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</si>
  <si>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</si>
  <si>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</si>
  <si>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</si>
  <si>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</si>
  <si>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</si>
  <si>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</si>
  <si>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</si>
  <si>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</si>
  <si>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</si>
  <si>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</si>
  <si>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</si>
  <si>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</si>
  <si>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</si>
  <si>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</si>
  <si>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</si>
  <si>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</si>
  <si>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</si>
  <si>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</si>
  <si>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</si>
  <si>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</si>
  <si>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</si>
  <si>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</si>
  <si>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</si>
  <si>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</si>
  <si>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</si>
  <si>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</si>
  <si>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</si>
  <si>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</si>
  <si>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</si>
  <si>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</si>
  <si>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</si>
  <si>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</si>
  <si>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</si>
  <si>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</si>
  <si>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</si>
  <si>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</si>
  <si>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</si>
  <si>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</si>
  <si>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</si>
  <si>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</si>
  <si>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</si>
  <si>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</si>
  <si>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</si>
  <si>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</si>
  <si>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</si>
  <si>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</si>
  <si>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</si>
  <si>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</si>
  <si>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</si>
  <si>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</si>
  <si>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</si>
  <si>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</si>
  <si>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</si>
  <si>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</si>
  <si>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</si>
  <si>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</si>
  <si>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</si>
  <si>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</si>
  <si>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</si>
  <si>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</si>
  <si>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</si>
  <si>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</si>
  <si>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</si>
  <si>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</si>
  <si>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</si>
  <si>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</si>
  <si>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</si>
  <si>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</si>
  <si>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</si>
  <si>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</si>
  <si>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</si>
  <si>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</si>
  <si>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</si>
  <si>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</si>
  <si>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</si>
  <si>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</si>
  <si>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</si>
  <si>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</si>
  <si>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</si>
  <si>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</si>
  <si>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</si>
  <si>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</si>
  <si>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</si>
  <si>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</si>
  <si>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</si>
  <si>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</si>
  <si>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</si>
  <si>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</si>
  <si>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</si>
  <si>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</si>
  <si>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</si>
  <si>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</si>
  <si>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</si>
  <si>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</si>
  <si>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</si>
  <si>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</si>
  <si>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</si>
  <si>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</si>
  <si>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</si>
  <si>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</si>
  <si>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</si>
  <si>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</si>
  <si>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</si>
  <si>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</si>
  <si>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</si>
  <si>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</si>
  <si>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</si>
  <si>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</si>
  <si>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</si>
  <si>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</si>
  <si>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</si>
  <si>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</si>
  <si>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</si>
  <si>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</si>
  <si>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</si>
  <si>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</si>
  <si>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</si>
  <si>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</si>
  <si>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</si>
  <si>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</si>
  <si>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</si>
  <si>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</si>
  <si>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</si>
  <si>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</si>
  <si>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</si>
  <si>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</si>
  <si>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</si>
  <si>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</si>
  <si>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</si>
  <si>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</si>
  <si>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</si>
  <si>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</si>
  <si>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</si>
  <si>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</si>
  <si>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</si>
  <si>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</si>
  <si>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</si>
  <si>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</si>
  <si>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</si>
  <si>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</si>
  <si>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</si>
  <si>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</si>
  <si>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</si>
  <si>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</si>
  <si>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</si>
  <si>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</si>
  <si>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</si>
  <si>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</si>
  <si>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</si>
  <si>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</si>
  <si>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</si>
  <si>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</si>
  <si>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</si>
  <si>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</si>
  <si>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</si>
  <si>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</si>
  <si>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</si>
  <si>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</si>
  <si>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</si>
  <si>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</si>
  <si>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</si>
  <si>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</si>
  <si>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</si>
  <si>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</si>
  <si>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</si>
  <si>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</si>
  <si>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</si>
  <si>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</si>
  <si>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</si>
  <si>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</si>
  <si>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</si>
  <si>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</si>
  <si>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</si>
  <si>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</si>
  <si>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</si>
  <si>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</si>
  <si>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</si>
  <si>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</si>
  <si>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</si>
  <si>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</si>
  <si>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</si>
  <si>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</si>
  <si>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</si>
  <si>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</si>
  <si>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</si>
  <si>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</si>
  <si>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</si>
  <si>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</si>
  <si>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</si>
  <si>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</si>
  <si>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</si>
  <si>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</si>
  <si>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</si>
  <si>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</si>
  <si>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</si>
  <si>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</si>
  <si>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</si>
  <si>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</si>
  <si>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</si>
  <si>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</si>
  <si>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</si>
  <si>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</si>
  <si>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</si>
  <si>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</si>
  <si>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</si>
  <si>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</si>
  <si>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</si>
  <si>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</si>
  <si>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</si>
  <si>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</si>
  <si>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</si>
  <si>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</si>
  <si>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</si>
  <si>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</si>
  <si>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</si>
  <si>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</si>
  <si>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</si>
  <si>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</si>
  <si>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</si>
  <si>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</si>
  <si>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</si>
  <si>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</si>
  <si>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</si>
  <si>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</si>
  <si>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</si>
  <si>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</si>
  <si>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</si>
  <si>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</si>
  <si>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</si>
  <si>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</si>
  <si>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</si>
  <si>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</si>
  <si>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</si>
  <si>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</si>
  <si>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</si>
  <si>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</si>
  <si>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</si>
  <si>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</si>
  <si>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</si>
  <si>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</si>
  <si>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</si>
  <si>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</si>
  <si>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</si>
  <si>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</si>
  <si>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</si>
  <si>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</si>
  <si>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</si>
  <si>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</si>
  <si>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</si>
  <si>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</si>
  <si>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</si>
  <si>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</si>
  <si>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</si>
  <si>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</si>
  <si>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</si>
  <si>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</si>
  <si>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</si>
  <si>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</si>
  <si>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</si>
  <si>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</si>
  <si>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</si>
  <si>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</si>
  <si>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</si>
  <si>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</si>
  <si>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</si>
  <si>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</si>
  <si>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</si>
  <si>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</si>
  <si>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</si>
  <si>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</si>
  <si>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</si>
  <si>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</si>
  <si>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</si>
  <si>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</si>
  <si>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</si>
  <si>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</si>
  <si>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</si>
  <si>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</si>
  <si>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</si>
  <si>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</si>
  <si>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</si>
  <si>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</si>
  <si>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</si>
  <si>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</si>
  <si>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</si>
  <si>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</si>
  <si>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</si>
  <si>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</si>
  <si>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</si>
  <si>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</si>
  <si>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</si>
  <si>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</si>
  <si>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</si>
  <si>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</si>
  <si>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</si>
  <si>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</si>
  <si>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</si>
  <si>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</si>
  <si>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</si>
  <si>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</si>
  <si>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</si>
  <si>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</si>
  <si>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</si>
  <si>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</si>
  <si>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</si>
  <si>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</si>
  <si>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</si>
  <si>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</si>
  <si>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</si>
  <si>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</si>
  <si>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</si>
  <si>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</si>
  <si>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</si>
  <si>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</si>
  <si>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</si>
  <si>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</si>
  <si>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</si>
  <si>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</si>
  <si>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</si>
  <si>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</si>
  <si>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</si>
  <si>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</si>
  <si>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</si>
  <si>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</si>
  <si>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</si>
  <si>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</si>
  <si>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</si>
  <si>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</si>
  <si>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</si>
  <si>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</si>
  <si>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</si>
  <si>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</si>
  <si>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</si>
  <si>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</si>
  <si>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</si>
  <si>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</si>
  <si>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</si>
  <si>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</si>
  <si>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</si>
  <si>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</si>
  <si>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</si>
  <si>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</si>
  <si>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</si>
  <si>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</si>
  <si>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</si>
  <si>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</si>
  <si>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</si>
  <si>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</si>
  <si>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</si>
  <si>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</si>
  <si>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</si>
  <si>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</si>
  <si>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</si>
  <si>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</si>
  <si>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</si>
  <si>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</si>
  <si>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</si>
  <si>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</si>
  <si>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</si>
  <si>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</si>
  <si>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</si>
  <si>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</si>
  <si>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</si>
  <si>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</si>
  <si>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</si>
  <si>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</si>
  <si>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</si>
  <si>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</si>
  <si>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</si>
  <si>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</si>
  <si>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</si>
  <si>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</si>
  <si>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</si>
  <si>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</si>
  <si>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</si>
  <si>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</si>
  <si>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</si>
  <si>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</si>
  <si>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</si>
  <si>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</si>
  <si>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</si>
  <si>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</si>
  <si>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</si>
  <si>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</si>
  <si>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</si>
  <si>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</si>
  <si>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</si>
  <si>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</si>
  <si>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</si>
  <si>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</si>
  <si>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</si>
  <si>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</si>
  <si>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</si>
  <si>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</si>
  <si>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</si>
  <si>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</si>
  <si>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</si>
  <si>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</si>
  <si>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</si>
  <si>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</si>
  <si>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</si>
  <si>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</si>
  <si>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</si>
  <si>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</si>
  <si>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</si>
  <si>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</si>
  <si>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</si>
  <si>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</si>
  <si>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</si>
  <si>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</si>
  <si>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</si>
  <si>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</si>
  <si>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</si>
  <si>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</si>
  <si>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</si>
  <si>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</si>
  <si>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</si>
  <si>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</si>
  <si>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</si>
  <si>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</si>
  <si>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</si>
  <si>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</si>
  <si>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</si>
  <si>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</si>
  <si>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</si>
  <si>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</si>
  <si>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</si>
  <si>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</si>
  <si>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</si>
  <si>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</si>
  <si>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</si>
  <si>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</si>
  <si>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</si>
  <si>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</si>
  <si>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</si>
  <si>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</si>
  <si>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</si>
  <si>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</si>
  <si>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</si>
  <si>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</si>
  <si>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</si>
  <si>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</si>
  <si>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</si>
  <si>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</si>
  <si>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</si>
  <si>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</si>
  <si>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</si>
  <si>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</si>
  <si>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</si>
  <si>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</si>
  <si>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</si>
  <si>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</si>
  <si>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</si>
  <si>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</si>
  <si>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</si>
  <si>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</si>
  <si>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</si>
  <si>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</si>
  <si>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</si>
  <si>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</si>
  <si>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</si>
  <si>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</si>
  <si>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</si>
  <si>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</si>
  <si>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</si>
  <si>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</si>
  <si>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</si>
  <si>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</si>
  <si>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</si>
  <si>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</si>
  <si>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</si>
  <si>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</si>
  <si>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</si>
  <si>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</si>
  <si>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</si>
  <si>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</si>
  <si>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</si>
  <si>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</si>
  <si>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</si>
  <si>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</si>
  <si>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</si>
  <si>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</si>
  <si>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</si>
  <si>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</si>
  <si>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</si>
  <si>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</si>
  <si>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</si>
  <si>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</si>
  <si>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</si>
  <si>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</si>
  <si>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</si>
  <si>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</si>
  <si>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</si>
  <si>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</si>
  <si>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</si>
  <si>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</si>
  <si>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</si>
  <si>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</si>
  <si>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</si>
  <si>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</si>
  <si>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</si>
  <si>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</si>
  <si>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</si>
  <si>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</si>
  <si>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</si>
  <si>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</si>
  <si>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</si>
  <si>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</si>
  <si>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</si>
  <si>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</si>
  <si>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</si>
  <si>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</si>
  <si>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</si>
  <si>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</si>
  <si>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</si>
  <si>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</si>
  <si>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</si>
  <si>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</si>
  <si>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</si>
  <si>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</si>
  <si>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</si>
  <si>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</si>
  <si>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</si>
  <si>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</si>
  <si>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</si>
  <si>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</si>
  <si>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</si>
  <si>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</si>
  <si>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</si>
  <si>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</si>
  <si>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</si>
  <si>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</si>
  <si>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</si>
  <si>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</si>
  <si>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</si>
  <si>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</si>
  <si>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</si>
  <si>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</si>
  <si>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</si>
  <si>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</si>
  <si>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</si>
  <si>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</si>
  <si>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</si>
  <si>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</si>
  <si>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</si>
  <si>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</si>
  <si>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</si>
  <si>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</si>
  <si>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</si>
  <si>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</si>
  <si>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</si>
  <si>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</si>
  <si>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</si>
  <si>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</si>
  <si>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</si>
  <si>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</si>
  <si>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</si>
  <si>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</si>
  <si>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</si>
  <si>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</si>
  <si>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</si>
  <si>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</si>
  <si>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</si>
  <si>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</si>
  <si>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</si>
  <si>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</si>
  <si>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</si>
  <si>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</si>
  <si>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</si>
  <si>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</si>
  <si>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</si>
  <si>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</si>
  <si>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</si>
  <si>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</si>
  <si>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</si>
  <si>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</si>
  <si>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</si>
  <si>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</si>
  <si>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</si>
  <si>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</si>
  <si>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</si>
  <si>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</si>
  <si>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</si>
  <si>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</si>
  <si>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</si>
  <si>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</si>
  <si>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</si>
  <si>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</si>
  <si>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</si>
  <si>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</si>
  <si>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</si>
  <si>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</si>
  <si>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</si>
  <si>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</si>
  <si>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</si>
  <si>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</si>
  <si>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</si>
  <si>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</si>
  <si>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</si>
  <si>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</si>
  <si>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</si>
  <si>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</si>
  <si>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</si>
  <si>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</si>
  <si>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</si>
  <si>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</si>
  <si>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</si>
  <si>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</si>
  <si>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</si>
  <si>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</si>
  <si>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</si>
  <si>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</si>
  <si>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</si>
  <si>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</si>
  <si>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</si>
  <si>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</si>
  <si>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</si>
  <si>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</si>
  <si>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</si>
  <si>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</si>
  <si>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</si>
  <si>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</si>
  <si>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</si>
  <si>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</si>
  <si>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</si>
  <si>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</si>
  <si>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</si>
  <si>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</si>
  <si>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</si>
  <si>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</si>
  <si>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</si>
  <si>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</si>
  <si>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</si>
  <si>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</si>
  <si>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</si>
  <si>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</si>
  <si>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</si>
  <si>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</si>
  <si>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</si>
  <si>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</si>
  <si>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</si>
  <si>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</si>
  <si>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</si>
  <si>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</si>
  <si>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</si>
  <si>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</si>
  <si>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</si>
  <si>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</si>
  <si>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</si>
  <si>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</si>
  <si>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</si>
  <si>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</si>
  <si>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</si>
  <si>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</si>
  <si>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</si>
  <si>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</si>
  <si>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</si>
  <si>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</si>
  <si>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</si>
  <si>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</si>
  <si>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</si>
  <si>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</si>
  <si>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</si>
  <si>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</si>
  <si>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</si>
  <si>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</si>
  <si>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</si>
  <si>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</si>
  <si>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</si>
  <si>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</si>
  <si>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</si>
  <si>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</si>
  <si>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</si>
  <si>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</si>
  <si>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</si>
  <si>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</si>
  <si>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</si>
  <si>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</si>
  <si>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</si>
  <si>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</si>
  <si>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</si>
  <si>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</si>
  <si>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</si>
  <si>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</si>
  <si>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</si>
  <si>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</si>
  <si>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</si>
  <si>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</si>
  <si>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</si>
  <si>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</si>
  <si>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</si>
  <si>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</si>
  <si>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</si>
  <si>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</si>
  <si>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</si>
  <si>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</si>
  <si>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</si>
  <si>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</si>
  <si>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</si>
  <si>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</si>
  <si>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</si>
  <si>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</si>
  <si>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</si>
  <si>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</si>
  <si>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</si>
  <si>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</si>
  <si>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</si>
  <si>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</si>
  <si>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</si>
  <si>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</si>
  <si>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</si>
  <si>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</si>
  <si>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</si>
  <si>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</si>
  <si>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</si>
  <si>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</si>
  <si>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</si>
  <si>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</si>
  <si>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</si>
  <si>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</si>
  <si>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</si>
  <si>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</si>
  <si>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</si>
  <si>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</si>
  <si>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</si>
  <si>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</si>
  <si>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</si>
  <si>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</si>
  <si>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</si>
  <si>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</si>
  <si>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</si>
  <si>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</si>
  <si>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</si>
  <si>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</si>
  <si>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</si>
  <si>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</si>
  <si>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</si>
  <si>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</si>
  <si>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</si>
  <si>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</si>
  <si>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</si>
  <si>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</si>
  <si>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</si>
  <si>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</si>
  <si>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</si>
  <si>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</si>
  <si>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</si>
  <si>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</si>
  <si>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</si>
  <si>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</si>
  <si>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</si>
  <si>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</si>
  <si>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</si>
  <si>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</si>
  <si>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</si>
  <si>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</si>
  <si>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</si>
  <si>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</si>
  <si>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</si>
  <si>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</si>
  <si>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</si>
  <si>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</si>
  <si>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</si>
  <si>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</si>
  <si>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</si>
  <si>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</si>
  <si>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</si>
  <si>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</si>
  <si>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</si>
  <si>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</si>
  <si>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</si>
  <si>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</si>
  <si>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</si>
  <si>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</si>
  <si>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</si>
  <si>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</si>
  <si>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</si>
  <si>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</si>
  <si>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</si>
  <si>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</si>
  <si>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</si>
  <si>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</si>
  <si>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</si>
  <si>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</si>
  <si>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</si>
  <si>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</si>
  <si>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</si>
  <si>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</si>
  <si>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</si>
  <si>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</si>
  <si>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</si>
  <si>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</si>
  <si>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</si>
  <si>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</si>
  <si>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</si>
  <si>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</si>
  <si>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</si>
  <si>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</si>
  <si>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</si>
  <si>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</si>
  <si>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</si>
  <si>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</si>
  <si>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</si>
  <si>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</si>
  <si>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</si>
  <si>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</si>
  <si>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</si>
  <si>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</si>
  <si>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</si>
  <si>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</si>
  <si>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</si>
  <si>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</si>
  <si>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</si>
  <si>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</si>
  <si>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</si>
  <si>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</si>
  <si>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</si>
  <si>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</si>
  <si>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</si>
  <si>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</si>
  <si>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</si>
  <si>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</si>
  <si>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</si>
  <si>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</si>
  <si>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</si>
  <si>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</si>
  <si>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</si>
  <si>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</si>
  <si>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</si>
  <si>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</si>
  <si>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</si>
  <si>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</si>
  <si>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</si>
  <si>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</si>
  <si>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</si>
  <si>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</si>
  <si>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</si>
  <si>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</si>
  <si>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</si>
  <si>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</si>
  <si>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</si>
  <si>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</si>
  <si>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</si>
  <si>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</si>
  <si>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</si>
  <si>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</si>
  <si>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</si>
  <si>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</si>
  <si>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</si>
  <si>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</si>
  <si>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</si>
  <si>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</si>
  <si>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</si>
  <si>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</si>
  <si>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</si>
  <si>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</si>
  <si>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</si>
  <si>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</si>
  <si>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</si>
  <si>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</si>
  <si>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</si>
  <si>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</si>
  <si>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</si>
  <si>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</si>
  <si>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</si>
  <si>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</si>
  <si>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</si>
  <si>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</si>
  <si>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</si>
  <si>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</si>
  <si>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</si>
  <si>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</si>
  <si>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</si>
  <si>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</si>
  <si>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</si>
  <si>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</si>
  <si>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</si>
  <si>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</si>
  <si>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</si>
  <si>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</si>
  <si>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</si>
  <si>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</si>
  <si>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</si>
  <si>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</si>
  <si>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</si>
  <si>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</si>
  <si>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</si>
  <si>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</si>
  <si>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</si>
  <si>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</si>
  <si>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</si>
  <si>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</si>
  <si>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</si>
  <si>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</si>
  <si>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</si>
  <si>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</si>
  <si>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</si>
  <si>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</si>
  <si>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</si>
  <si>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</si>
  <si>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</si>
  <si>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</si>
  <si>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</si>
  <si>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</si>
  <si>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</si>
  <si>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</si>
  <si>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</si>
  <si>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</si>
  <si>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</si>
  <si>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</si>
  <si>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</si>
  <si>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</si>
  <si>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</si>
  <si>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</si>
  <si>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</si>
  <si>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</si>
  <si>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</si>
  <si>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</si>
  <si>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</si>
  <si>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</si>
  <si>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</si>
  <si>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</si>
  <si>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</si>
  <si>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</si>
  <si>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</si>
  <si>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</si>
  <si>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</si>
  <si>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</si>
  <si>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</si>
  <si>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</si>
  <si>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</si>
  <si>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</si>
  <si>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</si>
  <si>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</si>
  <si>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</si>
  <si>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</si>
  <si>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</si>
  <si>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</si>
  <si>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</si>
  <si>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</si>
  <si>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</si>
  <si>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</si>
  <si>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</si>
  <si>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</si>
  <si>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</si>
  <si>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</si>
  <si>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</si>
  <si>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</si>
  <si>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</si>
  <si>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</si>
  <si>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</si>
  <si>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</si>
  <si>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</si>
  <si>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</si>
  <si>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</si>
  <si>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</si>
  <si>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</si>
  <si>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</si>
  <si>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</si>
  <si>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</si>
  <si>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</si>
  <si>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</si>
  <si>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</si>
  <si>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</si>
  <si>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</si>
  <si>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</si>
  <si>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</si>
  <si>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</si>
  <si>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</si>
  <si>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</si>
  <si>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</si>
  <si>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</si>
  <si>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</si>
  <si>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</si>
  <si>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</si>
  <si>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</si>
  <si>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</si>
  <si>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</si>
  <si>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</si>
  <si>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</si>
  <si>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</si>
  <si>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</si>
  <si>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</si>
  <si>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</si>
  <si>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</si>
  <si>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</si>
  <si>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</si>
  <si>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</si>
  <si>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</si>
  <si>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</si>
  <si>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</si>
  <si>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</si>
  <si>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</si>
  <si>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</si>
  <si>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</si>
  <si>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</si>
  <si>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</si>
  <si>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</si>
  <si>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</si>
  <si>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</si>
  <si>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</si>
  <si>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</si>
  <si>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</si>
  <si>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</si>
  <si>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</si>
  <si>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</si>
  <si>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</si>
  <si>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</si>
  <si>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</si>
  <si>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</si>
  <si>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</si>
  <si>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</si>
  <si>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</si>
  <si>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</si>
  <si>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</si>
  <si>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</si>
  <si>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</si>
  <si>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</si>
  <si>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</si>
  <si>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</si>
  <si>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</si>
  <si>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</si>
  <si>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</si>
  <si>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</si>
  <si>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</si>
  <si>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</si>
  <si>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</si>
  <si>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</si>
  <si>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</si>
  <si>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</si>
  <si>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</si>
  <si>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</si>
  <si>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</si>
  <si>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</si>
  <si>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</si>
  <si>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</si>
  <si>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</si>
  <si>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</si>
  <si>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</si>
  <si>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</si>
  <si>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</si>
  <si>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</si>
  <si>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</si>
  <si>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</si>
  <si>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</si>
  <si>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</si>
  <si>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</si>
  <si>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</si>
  <si>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</si>
  <si>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</si>
  <si>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</si>
  <si>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</si>
  <si>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</si>
  <si>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</si>
  <si>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</si>
  <si>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</si>
  <si>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</si>
  <si>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</si>
  <si>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</si>
  <si>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</si>
  <si>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</si>
  <si>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</si>
  <si>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</si>
  <si>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</si>
  <si>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</si>
  <si>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</si>
  <si>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</si>
  <si>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</si>
  <si>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</si>
  <si>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</si>
  <si>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</si>
  <si>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</si>
  <si>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</si>
  <si>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</si>
  <si>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</si>
  <si>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</si>
  <si>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</si>
  <si>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</si>
  <si>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</si>
  <si>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</si>
  <si>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</si>
  <si>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</si>
  <si>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</si>
  <si>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</si>
  <si>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</si>
  <si>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</si>
  <si>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</si>
  <si>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</si>
  <si>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</si>
  <si>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</si>
  <si>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</si>
  <si>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</si>
  <si>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</si>
  <si>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</si>
  <si>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</si>
  <si>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</si>
  <si>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</si>
  <si>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</si>
  <si>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</si>
  <si>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</si>
  <si>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</si>
  <si>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</si>
  <si>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</si>
  <si>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</si>
  <si>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</si>
  <si>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</si>
  <si>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</si>
  <si>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</si>
  <si>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</si>
  <si>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</si>
  <si>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</si>
  <si>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</si>
  <si>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</si>
  <si>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</si>
  <si>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</si>
  <si>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</si>
  <si>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</si>
  <si>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</si>
  <si>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</si>
  <si>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</si>
  <si>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</si>
  <si>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</si>
  <si>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</si>
  <si>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</si>
  <si>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</si>
  <si>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</si>
  <si>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</si>
  <si>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</si>
  <si>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</si>
  <si>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</si>
  <si>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</si>
  <si>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</si>
  <si>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</si>
  <si>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</si>
  <si>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</si>
  <si>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</si>
  <si>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</si>
  <si>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</si>
  <si>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</si>
  <si>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</si>
  <si>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</si>
  <si>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</si>
  <si>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</si>
  <si>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</si>
  <si>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</si>
  <si>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</si>
  <si>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</si>
  <si>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</si>
  <si>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</si>
  <si>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</si>
  <si>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</si>
  <si>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</si>
  <si>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</si>
  <si>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</si>
  <si>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</si>
  <si>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</si>
  <si>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</si>
  <si>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</si>
  <si>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</si>
  <si>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</si>
  <si>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</si>
  <si>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</si>
  <si>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</si>
  <si>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</si>
  <si>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</si>
  <si>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</si>
  <si>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</si>
  <si>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</si>
  <si>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</si>
  <si>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</si>
  <si>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</si>
  <si>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</si>
  <si>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</si>
  <si>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</si>
  <si>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</si>
  <si>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</si>
  <si>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</si>
  <si>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</si>
  <si>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</si>
  <si>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</si>
  <si>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</si>
  <si>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</si>
  <si>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</si>
  <si>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</si>
  <si>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</si>
  <si>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</si>
  <si>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</si>
  <si>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</si>
  <si>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</si>
  <si>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</si>
  <si>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</si>
  <si>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</si>
  <si>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</si>
  <si>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</si>
  <si>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</si>
  <si>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</si>
  <si>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</si>
  <si>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</si>
  <si>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</si>
  <si>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</si>
  <si>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</si>
  <si>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</si>
  <si>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</si>
  <si>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</si>
  <si>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</si>
  <si>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</si>
  <si>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</si>
  <si>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</si>
  <si>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</si>
  <si>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</si>
  <si>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</si>
  <si>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</si>
  <si>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</si>
  <si>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</si>
  <si>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</si>
  <si>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</si>
  <si>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</si>
  <si>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</si>
  <si>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</si>
  <si>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</si>
  <si>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</si>
  <si>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</si>
  <si>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</si>
  <si>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</si>
  <si>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</si>
  <si>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</si>
  <si>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</si>
  <si>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</si>
  <si>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</si>
  <si>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</si>
  <si>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</si>
  <si>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</si>
  <si>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</si>
  <si>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</si>
  <si>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</si>
  <si>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</si>
  <si>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</si>
  <si>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</si>
  <si>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</si>
  <si>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</si>
  <si>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</si>
  <si>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</si>
  <si>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</si>
  <si>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</si>
  <si>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</si>
  <si>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</si>
  <si>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</si>
  <si>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</si>
  <si>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</si>
  <si>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</si>
  <si>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</si>
  <si>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</si>
  <si>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</si>
  <si>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</si>
  <si>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</si>
  <si>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</si>
  <si>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</si>
  <si>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</si>
  <si>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</si>
  <si>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</si>
  <si>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</si>
  <si>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</si>
  <si>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</si>
  <si>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</si>
  <si>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</si>
  <si>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</si>
  <si>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</si>
  <si>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</si>
  <si>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</si>
  <si>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</si>
  <si>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</si>
  <si>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</si>
  <si>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</si>
  <si>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</si>
  <si>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</si>
  <si>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</si>
  <si>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</si>
  <si>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</si>
  <si>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</si>
  <si>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</si>
  <si>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</si>
  <si>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</si>
  <si>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</si>
  <si>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</si>
  <si>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</si>
  <si>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</si>
  <si>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</si>
  <si>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</si>
  <si>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</si>
  <si>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</si>
  <si>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</si>
  <si>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</si>
  <si>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</si>
  <si>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</si>
  <si>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</si>
  <si>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</si>
  <si>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</si>
  <si>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</si>
  <si>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</si>
  <si>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</si>
  <si>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</si>
  <si>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</si>
  <si>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</si>
  <si>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</si>
  <si>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</si>
  <si>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</si>
  <si>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</si>
  <si>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</si>
  <si>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</si>
  <si>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</si>
  <si>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</si>
  <si>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</si>
  <si>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</si>
  <si>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</si>
  <si>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</si>
  <si>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</si>
  <si>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</si>
  <si>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</si>
  <si>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</si>
  <si>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</si>
  <si>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</si>
  <si>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</si>
  <si>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</si>
  <si>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</si>
  <si>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</si>
  <si>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</si>
  <si>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</si>
  <si>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</si>
  <si>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</si>
  <si>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</si>
  <si>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</si>
  <si>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</si>
  <si>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</si>
  <si>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</si>
  <si>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</si>
  <si>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</si>
  <si>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</si>
  <si>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</si>
  <si>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</si>
  <si>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</si>
  <si>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</si>
  <si>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</si>
  <si>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</si>
  <si>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</si>
  <si>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</si>
  <si>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</si>
  <si>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</si>
  <si>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</si>
  <si>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</si>
  <si>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</si>
  <si>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</si>
  <si>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</si>
  <si>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</si>
  <si>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</si>
  <si>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</si>
  <si>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</si>
  <si>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</si>
  <si>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</si>
  <si>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</si>
  <si>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</si>
  <si>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</si>
  <si>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</si>
  <si>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</si>
  <si>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</si>
  <si>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</si>
  <si>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</si>
  <si>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</si>
  <si>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</si>
  <si>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</si>
  <si>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</si>
  <si>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</si>
  <si>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</si>
  <si>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</si>
  <si>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</si>
  <si>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</si>
  <si>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</si>
  <si>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</si>
  <si>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</si>
  <si>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</si>
  <si>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</si>
  <si>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</si>
  <si>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</si>
  <si>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</si>
  <si>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</si>
  <si>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</si>
  <si>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</si>
  <si>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</si>
  <si>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</si>
  <si>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</si>
  <si>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</si>
  <si>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</si>
  <si>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</si>
  <si>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</si>
  <si>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</si>
  <si>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</si>
  <si>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</si>
  <si>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</si>
  <si>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</si>
  <si>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</si>
  <si>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</si>
  <si>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</si>
  <si>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</si>
  <si>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</si>
  <si>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</si>
  <si>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</si>
  <si>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</si>
  <si>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</si>
  <si>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</si>
  <si>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</si>
  <si>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</si>
  <si>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</si>
  <si>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</si>
  <si>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</si>
  <si>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</si>
  <si>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</si>
  <si>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</si>
  <si>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</si>
  <si>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</si>
  <si>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</si>
  <si>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</si>
  <si>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</si>
  <si>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</si>
  <si>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</si>
  <si>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</si>
  <si>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</si>
  <si>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</si>
  <si>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</si>
  <si>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</si>
  <si>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</si>
  <si>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</si>
  <si>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</si>
  <si>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</si>
  <si>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</si>
  <si>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</si>
  <si>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</si>
  <si>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</si>
  <si>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</si>
  <si>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</si>
  <si>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</si>
  <si>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</si>
  <si>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</si>
  <si>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</si>
  <si>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</si>
  <si>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</si>
  <si>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</si>
  <si>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</si>
  <si>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</si>
  <si>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</si>
  <si>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</si>
  <si>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</si>
  <si>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</si>
  <si>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</si>
  <si>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</si>
  <si>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</si>
  <si>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</si>
  <si>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</si>
  <si>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</si>
  <si>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</si>
  <si>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</si>
  <si>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</si>
  <si>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</si>
  <si>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</si>
  <si>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</si>
  <si>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</si>
  <si>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</si>
  <si>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</si>
  <si>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</si>
  <si>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</si>
  <si>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</si>
  <si>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</si>
  <si>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</si>
  <si>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</si>
  <si>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</si>
  <si>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</si>
  <si>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</si>
  <si>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</si>
  <si>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</si>
  <si>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</si>
  <si>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</si>
  <si>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</si>
  <si>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</si>
  <si>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</si>
  <si>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</si>
  <si>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</si>
  <si>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</si>
  <si>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</si>
  <si>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</si>
  <si>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</si>
  <si>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</si>
  <si>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</si>
  <si>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</si>
  <si>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</si>
  <si>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</si>
  <si>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</si>
  <si>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</si>
  <si>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</si>
  <si>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</si>
  <si>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</si>
  <si>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</si>
  <si>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</si>
  <si>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</si>
  <si>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</si>
  <si>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</si>
  <si>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</si>
  <si>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</si>
  <si>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</si>
  <si>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</si>
  <si>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</si>
  <si>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</si>
  <si>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</si>
  <si>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</si>
  <si>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</si>
  <si>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</si>
  <si>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</si>
  <si>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</si>
  <si>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</si>
  <si>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</si>
  <si>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</si>
  <si>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</si>
  <si>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</si>
  <si>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</si>
  <si>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</si>
  <si>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</si>
  <si>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</si>
  <si>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</si>
  <si>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</si>
  <si>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</si>
  <si>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</si>
  <si>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</si>
  <si>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</si>
  <si>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</si>
  <si>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</si>
  <si>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</si>
  <si>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</si>
  <si>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</si>
  <si>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</si>
  <si>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</si>
  <si>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</si>
  <si>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</si>
  <si>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</si>
  <si>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</si>
  <si>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</si>
  <si>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</si>
  <si>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</si>
  <si>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</si>
  <si>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</si>
  <si>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</si>
  <si>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</si>
  <si>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</si>
  <si>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</si>
  <si>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</si>
  <si>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</si>
  <si>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</si>
  <si>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</si>
  <si>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</si>
  <si>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</si>
  <si>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</si>
  <si>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</si>
  <si>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</si>
  <si>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</si>
  <si>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</si>
  <si>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</si>
  <si>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</si>
  <si>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</si>
  <si>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</si>
  <si>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</si>
  <si>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</si>
  <si>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</si>
  <si>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</si>
  <si>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</si>
  <si>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</si>
  <si>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</si>
  <si>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</si>
  <si>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</si>
  <si>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</si>
  <si>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</si>
  <si>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</si>
  <si>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</si>
  <si>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</si>
  <si>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</si>
  <si>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</si>
  <si>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</si>
  <si>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</si>
  <si>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</si>
  <si>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</si>
  <si>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</si>
  <si>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</si>
  <si>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</si>
  <si>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</si>
  <si>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</si>
  <si>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</si>
  <si>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</si>
  <si>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</si>
  <si>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</si>
  <si>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</si>
  <si>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</si>
  <si>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</si>
  <si>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</si>
  <si>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</si>
  <si>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</si>
  <si>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</si>
  <si>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</si>
  <si>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</si>
  <si>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</si>
  <si>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</si>
  <si>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</si>
  <si>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</si>
  <si>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</si>
  <si>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</si>
  <si>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</si>
  <si>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</si>
  <si>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</si>
  <si>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</si>
  <si>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</si>
  <si>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</si>
  <si>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</si>
  <si>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</si>
  <si>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</si>
  <si>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</si>
  <si>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</si>
  <si>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</si>
  <si>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</si>
  <si>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</si>
  <si>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</si>
  <si>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</si>
  <si>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</si>
  <si>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</si>
  <si>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</si>
  <si>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</si>
  <si>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</si>
  <si>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</si>
  <si>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</si>
  <si>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</si>
  <si>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</si>
  <si>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</si>
  <si>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</si>
  <si>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</si>
  <si>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</si>
  <si>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</si>
  <si>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</si>
  <si>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</si>
  <si>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</si>
  <si>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</si>
  <si>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</si>
  <si>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</si>
  <si>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</si>
  <si>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</si>
  <si>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</si>
  <si>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</si>
  <si>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</si>
  <si>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</si>
  <si>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</si>
  <si>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</si>
  <si>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</si>
  <si>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</si>
  <si>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</si>
  <si>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</si>
  <si>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</si>
  <si>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</si>
  <si>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</si>
  <si>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</si>
  <si>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</si>
  <si>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</si>
  <si>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</si>
  <si>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</si>
  <si>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</si>
  <si>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</si>
  <si>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</si>
  <si>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</si>
  <si>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</si>
  <si>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</si>
  <si>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</si>
  <si>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</si>
  <si>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</si>
  <si>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</si>
  <si>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</si>
  <si>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</si>
  <si>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</si>
  <si>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</si>
  <si>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</si>
  <si>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</si>
  <si>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</si>
  <si>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</si>
  <si>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</si>
  <si>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</si>
  <si>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</si>
  <si>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</si>
  <si>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</si>
  <si>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</si>
  <si>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</si>
  <si>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</si>
  <si>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</si>
  <si>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</si>
  <si>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</si>
  <si>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</si>
  <si>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</si>
  <si>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</si>
  <si>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</si>
  <si>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</si>
  <si>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</si>
  <si>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</si>
  <si>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</si>
  <si>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</si>
  <si>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</si>
  <si>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</si>
  <si>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</si>
  <si>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</si>
  <si>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</si>
  <si>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</si>
  <si>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</si>
  <si>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</si>
  <si>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</si>
  <si>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</si>
  <si>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</si>
  <si>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</si>
  <si>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</si>
  <si>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</si>
  <si>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</si>
  <si>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</si>
  <si>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</si>
  <si>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</si>
  <si>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</si>
  <si>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</si>
  <si>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</si>
  <si>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</si>
  <si>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</si>
  <si>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</si>
  <si>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</si>
  <si>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</si>
  <si>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</si>
  <si>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</si>
  <si>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</si>
  <si>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</si>
  <si>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</si>
  <si>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</si>
  <si>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</si>
  <si>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</si>
  <si>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</si>
  <si>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</si>
  <si>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</si>
  <si>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</si>
  <si>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</si>
  <si>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</si>
  <si>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</si>
  <si>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</si>
  <si>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</si>
  <si>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</si>
  <si>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</si>
  <si>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</si>
  <si>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</si>
  <si>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</si>
  <si>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</si>
  <si>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</si>
  <si>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</si>
  <si>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</si>
  <si>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</si>
  <si>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</si>
  <si>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</si>
  <si>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</si>
  <si>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</si>
  <si>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</si>
  <si>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</si>
  <si>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</si>
  <si>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</si>
  <si>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</si>
  <si>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</si>
  <si>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</si>
  <si>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</si>
  <si>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</si>
  <si>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</si>
  <si>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</si>
  <si>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</si>
  <si>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</si>
  <si>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</si>
  <si>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</si>
  <si>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</si>
  <si>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</si>
  <si>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</si>
  <si>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</si>
  <si>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</si>
  <si>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</si>
  <si>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</si>
  <si>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</si>
  <si>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</si>
  <si>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</si>
  <si>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</si>
  <si>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</si>
  <si>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</si>
  <si>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</si>
  <si>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</si>
  <si>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</si>
  <si>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</si>
  <si>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</si>
  <si>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</si>
  <si>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</si>
  <si>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</si>
  <si>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</si>
  <si>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</si>
  <si>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</si>
  <si>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</si>
  <si>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</si>
  <si>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</si>
  <si>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</si>
  <si>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</si>
  <si>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</si>
  <si>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</si>
  <si>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</si>
  <si>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</si>
  <si>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</si>
  <si>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</si>
  <si>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</si>
  <si>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</si>
  <si>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</si>
  <si>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</si>
  <si>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</si>
  <si>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</si>
  <si>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</si>
  <si>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</si>
  <si>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</si>
  <si>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</si>
  <si>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</si>
  <si>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</si>
  <si>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</si>
  <si>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</si>
  <si>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</si>
  <si>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</si>
  <si>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</si>
  <si>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</si>
  <si>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</si>
  <si>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</si>
  <si>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</si>
  <si>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</si>
  <si>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</si>
  <si>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</si>
  <si>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</si>
  <si>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</si>
  <si>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</si>
  <si>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</si>
  <si>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</si>
  <si>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</si>
  <si>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</si>
  <si>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</si>
  <si>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</si>
  <si>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</si>
  <si>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</si>
  <si>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</si>
  <si>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</si>
  <si>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</si>
  <si>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</si>
  <si>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</si>
  <si>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</si>
  <si>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</si>
  <si>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</si>
  <si>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</si>
  <si>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</si>
  <si>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</si>
  <si>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</si>
  <si>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</si>
  <si>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</si>
  <si>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</si>
  <si>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</si>
  <si>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</si>
  <si>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</si>
  <si>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</si>
  <si>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</si>
  <si>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</si>
  <si>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</si>
  <si>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</si>
  <si>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</si>
  <si>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</si>
  <si>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</si>
  <si>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</si>
  <si>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</si>
  <si>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</si>
  <si>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</si>
  <si>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</si>
  <si>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</si>
  <si>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</si>
  <si>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</si>
  <si>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</si>
  <si>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</si>
  <si>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</si>
  <si>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</si>
  <si>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</si>
  <si>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</si>
  <si>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</si>
  <si>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</si>
  <si>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</si>
  <si>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</si>
  <si>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</si>
  <si>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</si>
  <si>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</si>
  <si>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</si>
  <si>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</si>
  <si>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</si>
  <si>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</si>
  <si>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</si>
  <si>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</si>
  <si>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</si>
  <si>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</si>
  <si>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</si>
  <si>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</si>
  <si>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</si>
  <si>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</si>
  <si>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</si>
  <si>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</si>
  <si>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</si>
  <si>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</si>
  <si>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</si>
  <si>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</si>
  <si>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</si>
  <si>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</si>
  <si>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</si>
  <si>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</si>
  <si>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</si>
  <si>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</si>
  <si>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</si>
  <si>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</si>
  <si>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</si>
  <si>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</si>
  <si>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</si>
  <si>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</si>
  <si>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</si>
  <si>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</si>
  <si>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</si>
  <si>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</si>
  <si>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</si>
  <si>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</si>
  <si>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</si>
  <si>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</si>
  <si>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</si>
  <si>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</si>
  <si>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</si>
  <si>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</si>
  <si>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</si>
  <si>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</si>
  <si>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</si>
  <si>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</si>
  <si>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</si>
  <si>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</si>
  <si>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</si>
  <si>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</si>
  <si>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</si>
  <si>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</si>
  <si>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</si>
  <si>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</si>
  <si>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</si>
  <si>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</si>
  <si>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</si>
  <si>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</si>
  <si>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</si>
  <si>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</si>
  <si>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</si>
  <si>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</si>
  <si>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</si>
  <si>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</si>
  <si>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</si>
  <si>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</si>
  <si>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</si>
  <si>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</si>
  <si>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</si>
  <si>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</si>
  <si>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</si>
  <si>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</si>
  <si>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</si>
  <si>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</si>
  <si>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</si>
  <si>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</si>
  <si>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</si>
  <si>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</si>
  <si>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</si>
  <si>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</si>
  <si>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</si>
  <si>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</si>
  <si>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</si>
  <si>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</si>
  <si>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</si>
  <si>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</si>
  <si>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</si>
  <si>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</si>
  <si>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</si>
  <si>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</si>
  <si>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</si>
  <si>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</si>
  <si>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</si>
  <si>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</si>
  <si>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</si>
  <si>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</si>
  <si>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</si>
  <si>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</si>
  <si>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</si>
  <si>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</si>
  <si>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</si>
  <si>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</si>
  <si>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</si>
  <si>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</si>
  <si>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</si>
  <si>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</si>
  <si>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</si>
  <si>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</si>
  <si>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</si>
  <si>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</si>
  <si>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</si>
  <si>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</si>
  <si>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</si>
  <si>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</si>
  <si>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</si>
  <si>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</si>
  <si>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</si>
  <si>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</si>
  <si>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</si>
  <si>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</si>
  <si>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</si>
  <si>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</si>
  <si>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</si>
  <si>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</si>
  <si>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</si>
  <si>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</si>
  <si>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</si>
  <si>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</si>
  <si>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</si>
  <si>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</si>
  <si>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</si>
  <si>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</si>
  <si>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</si>
  <si>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</si>
  <si>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</si>
  <si>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</si>
  <si>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</si>
  <si>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</si>
  <si>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</si>
  <si>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</si>
  <si>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</si>
  <si>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</si>
  <si>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</si>
  <si>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</si>
  <si>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</si>
  <si>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</si>
  <si>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</si>
  <si>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</si>
  <si>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</si>
  <si>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</si>
  <si>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</si>
  <si>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</si>
  <si>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</si>
  <si>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</si>
  <si>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</si>
  <si>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</si>
  <si>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</si>
  <si>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</si>
  <si>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</si>
  <si>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</si>
  <si>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</si>
  <si>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</si>
  <si>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</si>
  <si>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</si>
  <si>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</si>
  <si>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</si>
  <si>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</si>
  <si>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</si>
  <si>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</si>
  <si>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</si>
  <si>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</si>
  <si>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</si>
  <si>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</si>
  <si>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</si>
  <si>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</si>
  <si>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</si>
  <si>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</si>
  <si>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</si>
  <si>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</si>
  <si>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</si>
  <si>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</si>
  <si>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</si>
  <si>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</si>
  <si>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</si>
  <si>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</si>
  <si>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</si>
  <si>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</si>
  <si>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</si>
  <si>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</si>
  <si>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</si>
  <si>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</si>
  <si>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</si>
  <si>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</si>
  <si>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</si>
  <si>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</si>
  <si>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</si>
  <si>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</si>
  <si>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</si>
  <si>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</si>
  <si>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</si>
  <si>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</si>
  <si>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</si>
  <si>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</si>
  <si>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</si>
  <si>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</si>
  <si>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</si>
  <si>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</si>
  <si>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</si>
  <si>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</si>
  <si>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</si>
  <si>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</si>
  <si>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</si>
  <si>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</si>
  <si>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</si>
  <si>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</si>
  <si>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</si>
  <si>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</si>
  <si>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</si>
  <si>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</si>
  <si>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</si>
  <si>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</si>
  <si>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</si>
  <si>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</si>
  <si>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</si>
  <si>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</si>
  <si>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</si>
  <si>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</si>
  <si>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</si>
  <si>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</si>
  <si>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</si>
  <si>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</si>
  <si>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</si>
  <si>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</si>
  <si>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</si>
  <si>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</si>
  <si>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</si>
  <si>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</si>
  <si>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</si>
  <si>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</si>
  <si>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</si>
  <si>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</si>
  <si>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</si>
  <si>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</si>
  <si>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</si>
  <si>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</si>
  <si>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</si>
  <si>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</si>
  <si>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</si>
  <si>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</si>
  <si>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</si>
  <si>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</si>
  <si>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</si>
  <si>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</si>
  <si>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</si>
  <si>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</si>
  <si>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</si>
  <si>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</si>
  <si>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</si>
  <si>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</si>
  <si>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</si>
  <si>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</si>
  <si>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</si>
  <si>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</si>
  <si>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</si>
  <si>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</si>
  <si>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</si>
  <si>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</si>
  <si>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</si>
  <si>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</si>
  <si>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</si>
  <si>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</si>
  <si>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</si>
  <si>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</si>
  <si>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</si>
  <si>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</si>
  <si>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</si>
  <si>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</si>
  <si>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</si>
  <si>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</si>
  <si>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</si>
  <si>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</si>
  <si>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</si>
  <si>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</si>
  <si>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</si>
  <si>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</si>
  <si>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</si>
  <si>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</si>
  <si>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</si>
  <si>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</si>
  <si>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</si>
  <si>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</si>
  <si>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</si>
  <si>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</si>
  <si>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</si>
  <si>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</si>
  <si>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</si>
  <si>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</si>
  <si>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</si>
  <si>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</si>
  <si>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</si>
  <si>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</si>
  <si>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</si>
  <si>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</si>
  <si>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</si>
  <si>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</si>
  <si>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</si>
  <si>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</si>
  <si>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</si>
  <si>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</si>
  <si>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</si>
  <si>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</si>
  <si>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</si>
  <si>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</si>
  <si>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</si>
  <si>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</si>
  <si>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</si>
  <si>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</si>
  <si>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</si>
  <si>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</si>
  <si>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</si>
  <si>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</si>
  <si>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</si>
  <si>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</si>
  <si>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</si>
  <si>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</si>
  <si>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</si>
  <si>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</si>
  <si>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</si>
  <si>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</si>
  <si>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</si>
  <si>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</si>
  <si>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</si>
  <si>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</si>
  <si>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</si>
  <si>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</si>
  <si>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</si>
  <si>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</si>
  <si>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</si>
  <si>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</si>
  <si>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</si>
  <si>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</si>
  <si>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</si>
  <si>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</si>
  <si>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</si>
  <si>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</si>
  <si>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</si>
  <si>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</si>
  <si>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</si>
  <si>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</si>
  <si>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</si>
  <si>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</si>
  <si>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</si>
  <si>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</si>
  <si>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</si>
  <si>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</si>
  <si>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</si>
  <si>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</si>
  <si>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</si>
  <si>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</si>
  <si>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</si>
  <si>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</si>
  <si>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</si>
  <si>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</si>
  <si>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</si>
  <si>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</si>
  <si>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</si>
  <si>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</si>
  <si>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</si>
  <si>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</si>
  <si>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</si>
  <si>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</si>
  <si>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</si>
  <si>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</si>
  <si>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</si>
  <si>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</si>
  <si>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</si>
  <si>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</si>
  <si>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</si>
  <si>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</si>
  <si>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</si>
  <si>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</si>
  <si>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</si>
  <si>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</si>
  <si>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</si>
  <si>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</si>
  <si>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</si>
  <si>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</si>
  <si>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</si>
  <si>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</si>
  <si>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</si>
  <si>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</si>
  <si>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</si>
  <si>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</si>
  <si>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</si>
  <si>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</si>
  <si>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</si>
  <si>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</si>
  <si>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</si>
  <si>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</si>
  <si>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</si>
  <si>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</si>
  <si>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</si>
  <si>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</si>
  <si>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</si>
  <si>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</si>
  <si>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</si>
  <si>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</si>
  <si>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</si>
  <si>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</si>
  <si>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</si>
  <si>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</si>
  <si>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</si>
  <si>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</si>
  <si>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</si>
  <si>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</si>
  <si>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</si>
  <si>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</si>
  <si>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</si>
  <si>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</si>
  <si>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</si>
  <si>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</si>
  <si>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</si>
  <si>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</si>
  <si>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</si>
  <si>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</si>
  <si>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</si>
  <si>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</si>
  <si>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</si>
  <si>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</si>
  <si>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</si>
  <si>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</si>
  <si>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</si>
  <si>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</si>
  <si>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</si>
  <si>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</si>
  <si>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</si>
  <si>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</si>
  <si>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</si>
  <si>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</si>
  <si>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</si>
  <si>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</si>
  <si>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</si>
  <si>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</si>
  <si>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</si>
  <si>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</si>
  <si>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</si>
  <si>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</si>
  <si>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</si>
  <si>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</si>
  <si>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</si>
  <si>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</si>
  <si>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</si>
  <si>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</si>
  <si>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</si>
  <si>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</si>
  <si>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</si>
  <si>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</si>
  <si>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</si>
  <si>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</si>
  <si>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</si>
  <si>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</si>
  <si>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</si>
  <si>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</si>
  <si>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</si>
  <si>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</si>
  <si>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</si>
  <si>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</si>
  <si>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</si>
  <si>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</si>
  <si>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</si>
  <si>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</si>
  <si>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</si>
  <si>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</si>
  <si>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</si>
  <si>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</si>
  <si>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</si>
  <si>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</si>
  <si>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</si>
  <si>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</si>
  <si>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</si>
  <si>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</si>
  <si>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</si>
  <si>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</si>
  <si>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</si>
  <si>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</si>
  <si>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</si>
  <si>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</si>
  <si>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</si>
  <si>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</si>
  <si>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</si>
  <si>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</si>
  <si>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</si>
  <si>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</si>
  <si>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</si>
  <si>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</si>
  <si>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</si>
  <si>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</si>
  <si>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</si>
  <si>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</si>
  <si>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</si>
  <si>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</si>
  <si>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</si>
  <si>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</si>
  <si>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</si>
  <si>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</si>
  <si>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</si>
  <si>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</si>
  <si>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</si>
  <si>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</si>
  <si>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</si>
  <si>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</si>
  <si>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</si>
  <si>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</si>
  <si>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</si>
  <si>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</si>
  <si>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</si>
  <si>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</si>
  <si>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</si>
  <si>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</si>
  <si>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</si>
  <si>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</si>
  <si>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</si>
  <si>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</si>
  <si>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</si>
  <si>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</si>
  <si>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</si>
  <si>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</si>
  <si>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</si>
  <si>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</si>
  <si>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</si>
  <si>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</si>
  <si>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</si>
  <si>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</si>
  <si>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</si>
  <si>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</si>
  <si>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</si>
  <si>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</si>
  <si>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</si>
  <si>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</si>
  <si>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</si>
  <si>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</si>
  <si>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</si>
  <si>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</si>
  <si>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</si>
  <si>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</si>
  <si>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</si>
  <si>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</si>
  <si>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</si>
  <si>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</si>
  <si>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</si>
  <si>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</si>
  <si>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</si>
  <si>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</si>
  <si>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</si>
  <si>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</si>
  <si>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</si>
  <si>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</si>
  <si>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</si>
  <si>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</si>
  <si>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</si>
  <si>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</si>
  <si>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</si>
  <si>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</si>
  <si>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</si>
  <si>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</si>
  <si>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</si>
  <si>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</si>
  <si>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</si>
  <si>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</si>
  <si>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</si>
  <si>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</si>
  <si>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</si>
  <si>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</si>
  <si>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</si>
  <si>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</si>
  <si>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</si>
  <si>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</si>
  <si>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</si>
  <si>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</si>
  <si>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</si>
  <si>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</si>
  <si>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</si>
  <si>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</si>
  <si>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</si>
  <si>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</si>
  <si>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</si>
  <si>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</si>
  <si>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</si>
  <si>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</si>
  <si>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</si>
  <si>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</si>
  <si>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</si>
  <si>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</si>
  <si>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</si>
  <si>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</si>
  <si>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</si>
  <si>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</si>
  <si>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</si>
  <si>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</si>
  <si>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</si>
  <si>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</si>
  <si>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</si>
  <si>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</si>
  <si>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</si>
  <si>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</si>
  <si>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</si>
  <si>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</si>
  <si>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</si>
  <si>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</si>
  <si>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</si>
  <si>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</si>
  <si>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</si>
  <si>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</si>
  <si>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</si>
  <si>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</si>
  <si>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</si>
  <si>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</si>
  <si>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</si>
  <si>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</si>
  <si>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</si>
  <si>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</si>
  <si>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</si>
  <si>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</si>
  <si>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</si>
  <si>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</si>
  <si>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</si>
  <si>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</si>
  <si>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</si>
  <si>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</si>
  <si>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</si>
  <si>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</si>
  <si>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</si>
  <si>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</si>
  <si>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</si>
  <si>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</si>
  <si>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</si>
  <si>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</si>
  <si>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</si>
  <si>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</si>
  <si>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</si>
  <si>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</si>
  <si>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</si>
  <si>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</si>
  <si>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</si>
  <si>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</si>
  <si>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</si>
  <si>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</si>
  <si>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</si>
  <si>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</si>
  <si>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</si>
  <si>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</si>
  <si>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</si>
  <si>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</si>
  <si>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</si>
  <si>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</si>
  <si>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</si>
  <si>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</si>
  <si>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</si>
  <si>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</si>
  <si>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</si>
  <si>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</si>
  <si>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</si>
  <si>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</si>
  <si>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</si>
  <si>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</si>
  <si>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</si>
  <si>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</si>
  <si>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</si>
  <si>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</si>
  <si>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</si>
  <si>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</si>
  <si>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</si>
  <si>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</si>
  <si>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</si>
  <si>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</si>
  <si>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</si>
  <si>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</si>
  <si>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</si>
  <si>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</si>
  <si>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</si>
  <si>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</si>
  <si>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</si>
  <si>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</si>
  <si>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</si>
  <si>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</si>
  <si>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</si>
  <si>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</si>
  <si>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</si>
  <si>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</si>
  <si>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</si>
  <si>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</si>
  <si>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</si>
  <si>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</si>
  <si>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</si>
  <si>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</si>
  <si>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</si>
  <si>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</si>
  <si>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</si>
  <si>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</si>
  <si>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</si>
  <si>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</si>
  <si>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</si>
  <si>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</si>
  <si>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</si>
  <si>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</si>
  <si>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</si>
  <si>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</si>
  <si>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</si>
  <si>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</si>
  <si>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</si>
  <si>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</si>
  <si>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</si>
  <si>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</si>
  <si>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</si>
  <si>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</si>
  <si>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</si>
  <si>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</si>
  <si>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</si>
  <si>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</si>
  <si>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</si>
  <si>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</si>
  <si>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</si>
  <si>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</si>
  <si>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</si>
  <si>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</si>
  <si>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</si>
  <si>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</si>
  <si>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</si>
  <si>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</si>
  <si>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</si>
  <si>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</si>
  <si>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</si>
  <si>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</si>
  <si>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</si>
  <si>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</si>
  <si>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</si>
  <si>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</si>
  <si>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</si>
  <si>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</si>
  <si>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</si>
  <si>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</si>
  <si>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</si>
  <si>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</si>
  <si>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</si>
  <si>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</si>
  <si>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</si>
  <si>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</si>
  <si>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</si>
  <si>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</si>
  <si>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</si>
  <si>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</si>
  <si>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</si>
  <si>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</si>
  <si>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</si>
  <si>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</si>
  <si>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</si>
  <si>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</si>
  <si>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</si>
  <si>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</si>
  <si>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</si>
  <si>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</si>
  <si>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</si>
  <si>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</si>
  <si>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</si>
  <si>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</si>
  <si>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</si>
  <si>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</si>
  <si>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</si>
  <si>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</si>
  <si>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</si>
  <si>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</si>
  <si>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</si>
  <si>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</si>
  <si>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</si>
  <si>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</si>
  <si>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</si>
  <si>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</si>
  <si>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</si>
  <si>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</si>
  <si>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</si>
  <si>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</si>
  <si>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</si>
  <si>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</si>
  <si>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</si>
  <si>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</si>
  <si>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</si>
  <si>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</si>
  <si>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</si>
  <si>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</si>
  <si>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</si>
  <si>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</si>
  <si>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</si>
  <si>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</si>
  <si>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</si>
  <si>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</si>
  <si>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</si>
  <si>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</si>
  <si>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</si>
  <si>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</si>
  <si>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</si>
  <si>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</si>
  <si>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</si>
  <si>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</si>
  <si>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</si>
  <si>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</si>
  <si>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</si>
  <si>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</si>
  <si>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</si>
  <si>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</si>
  <si>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</si>
  <si>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</si>
  <si>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</si>
  <si>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</si>
  <si>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</si>
  <si>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</si>
  <si>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</si>
  <si>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</si>
  <si>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</si>
  <si>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</si>
  <si>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</si>
  <si>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</si>
  <si>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</si>
  <si>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</si>
  <si>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</si>
  <si>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</si>
  <si>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</si>
  <si>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</si>
  <si>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</si>
  <si>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</si>
  <si>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</si>
  <si>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</si>
  <si>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</si>
  <si>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</si>
  <si>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</si>
  <si>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</si>
  <si>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</si>
  <si>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</si>
  <si>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</si>
  <si>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</si>
  <si>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</si>
  <si>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</si>
  <si>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</si>
  <si>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</si>
  <si>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</si>
  <si>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</si>
  <si>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</si>
  <si>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</si>
  <si>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</si>
  <si>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</si>
  <si>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</si>
  <si>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</si>
  <si>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</si>
  <si>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</si>
  <si>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</si>
  <si>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</si>
  <si>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</si>
  <si>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</si>
  <si>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</si>
  <si>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</si>
  <si>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</si>
  <si>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</si>
  <si>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</si>
  <si>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</si>
  <si>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</si>
  <si>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</si>
  <si>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</si>
  <si>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</si>
  <si>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</si>
  <si>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</si>
  <si>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</si>
  <si>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</si>
  <si>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</si>
  <si>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</si>
  <si>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</si>
  <si>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</si>
  <si>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</si>
  <si>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</si>
  <si>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</si>
  <si>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</si>
  <si>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</si>
  <si>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</si>
  <si>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</si>
  <si>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</si>
  <si>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</si>
  <si>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</si>
  <si>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</si>
  <si>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</si>
  <si>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</si>
  <si>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</si>
  <si>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</si>
  <si>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</si>
  <si>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</si>
  <si>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</si>
  <si>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</si>
  <si>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</si>
  <si>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</si>
  <si>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</si>
  <si>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</si>
  <si>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</si>
  <si>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</si>
  <si>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</si>
  <si>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</si>
  <si>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</si>
  <si>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</si>
  <si>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</si>
  <si>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</si>
  <si>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</si>
  <si>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</si>
  <si>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</si>
  <si>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</si>
  <si>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</si>
  <si>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</si>
  <si>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</si>
  <si>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</si>
  <si>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</si>
  <si>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</si>
  <si>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</si>
  <si>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</si>
  <si>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</si>
  <si>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</si>
  <si>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</si>
  <si>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</si>
  <si>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</si>
  <si>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</si>
  <si>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</si>
  <si>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</si>
  <si>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</si>
  <si>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</si>
  <si>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</si>
  <si>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</si>
  <si>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</si>
  <si>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</si>
  <si>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</si>
  <si>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</si>
  <si>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</si>
  <si>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</si>
  <si>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</si>
  <si>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</si>
  <si>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</si>
  <si>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</si>
  <si>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</si>
  <si>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</si>
  <si>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</si>
  <si>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</si>
  <si>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</si>
  <si>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</si>
  <si>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</si>
  <si>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</si>
  <si>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</si>
  <si>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</si>
  <si>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</si>
  <si>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</si>
  <si>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</si>
  <si>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</si>
  <si>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</si>
  <si>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</si>
  <si>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</si>
  <si>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</si>
  <si>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</si>
  <si>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</si>
  <si>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</si>
  <si>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</si>
  <si>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</si>
  <si>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</si>
  <si>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</si>
  <si>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</si>
  <si>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</si>
  <si>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</si>
  <si>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</si>
  <si>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</si>
  <si>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</si>
  <si>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</si>
  <si>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</si>
  <si>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</si>
  <si>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</si>
  <si>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</si>
  <si>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</si>
  <si>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</si>
  <si>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</si>
  <si>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</si>
  <si>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</si>
  <si>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</si>
  <si>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</si>
  <si>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</si>
  <si>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</si>
  <si>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</si>
  <si>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</si>
  <si>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</si>
  <si>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</si>
  <si>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</si>
  <si>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</si>
  <si>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</si>
  <si>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</si>
  <si>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</si>
  <si>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</si>
  <si>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</si>
  <si>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</si>
  <si>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</si>
  <si>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</si>
  <si>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</si>
  <si>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</si>
  <si>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</si>
  <si>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</si>
  <si>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</si>
  <si>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</si>
  <si>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</si>
  <si>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</si>
  <si>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</si>
  <si>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</si>
  <si>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</si>
  <si>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</si>
  <si>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</si>
  <si>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</si>
  <si>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</si>
  <si>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</si>
  <si>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</si>
  <si>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</si>
  <si>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</si>
  <si>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</si>
  <si>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</si>
  <si>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</si>
  <si>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</si>
  <si>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</si>
  <si>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</si>
  <si>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</si>
  <si>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</si>
  <si>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</si>
  <si>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</si>
  <si>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</si>
  <si>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</si>
  <si>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</si>
  <si>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</si>
  <si>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</si>
  <si>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</si>
  <si>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</si>
  <si>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</si>
  <si>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</si>
  <si>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</si>
  <si>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</si>
  <si>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</si>
  <si>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</si>
  <si>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</si>
  <si>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</si>
  <si>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</si>
  <si>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</si>
  <si>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</si>
  <si>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</si>
  <si>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</si>
  <si>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</si>
  <si>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</si>
  <si>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</si>
  <si>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</si>
  <si>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</si>
  <si>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</si>
  <si>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</si>
  <si>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</si>
  <si>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</si>
  <si>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</si>
  <si>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</si>
  <si>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</si>
  <si>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</si>
  <si>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</si>
  <si>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</si>
  <si>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</si>
  <si>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</si>
  <si>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</si>
  <si>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</si>
  <si>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</si>
  <si>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</si>
  <si>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</si>
  <si>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</si>
  <si>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</si>
  <si>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</si>
  <si>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</si>
  <si>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</si>
  <si>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</si>
  <si>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</si>
  <si>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</si>
  <si>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</si>
  <si>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</si>
  <si>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</si>
  <si>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</si>
  <si>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</si>
  <si>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</si>
  <si>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</si>
  <si>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</si>
  <si>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</si>
  <si>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</si>
  <si>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</si>
  <si>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</si>
  <si>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</si>
  <si>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</si>
  <si>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</si>
  <si>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</si>
  <si>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</si>
  <si>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</si>
  <si>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</si>
  <si>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</si>
  <si>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</si>
  <si>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</si>
  <si>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</si>
  <si>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</si>
  <si>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</si>
  <si>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</si>
  <si>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</si>
  <si>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</si>
  <si>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</si>
  <si>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</si>
  <si>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</si>
  <si>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</si>
  <si>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</si>
  <si>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</si>
  <si>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</si>
  <si>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</si>
  <si>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</si>
  <si>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</si>
  <si>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</si>
  <si>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</si>
  <si>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</si>
  <si>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</si>
  <si>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</si>
  <si>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</si>
  <si>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</si>
  <si>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</si>
  <si>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</si>
  <si>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</si>
  <si>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</si>
  <si>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</si>
  <si>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</si>
  <si>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</si>
  <si>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</si>
  <si>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</si>
  <si>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</si>
  <si>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</si>
  <si>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</si>
  <si>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</si>
  <si>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</si>
  <si>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</si>
  <si>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</si>
  <si>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</si>
  <si>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</si>
  <si>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</si>
  <si>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</si>
  <si>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</si>
  <si>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</si>
  <si>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</si>
  <si>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</si>
  <si>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</si>
  <si>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</si>
  <si>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</si>
  <si>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</si>
  <si>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</si>
  <si>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</si>
  <si>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</si>
  <si>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</si>
  <si>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</si>
  <si>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</si>
  <si>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</si>
  <si>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</si>
  <si>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</si>
  <si>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</si>
  <si>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</si>
  <si>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</si>
  <si>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</si>
  <si>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</si>
  <si>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</si>
  <si>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</si>
  <si>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</si>
  <si>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</si>
  <si>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</si>
  <si>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</si>
  <si>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</si>
  <si>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</si>
  <si>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</si>
  <si>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</si>
  <si>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</si>
  <si>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</si>
  <si>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</si>
  <si>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</si>
  <si>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</si>
  <si>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</si>
  <si>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</si>
  <si>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</si>
  <si>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</si>
  <si>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</si>
  <si>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</si>
  <si>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</si>
  <si>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</si>
  <si>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</si>
  <si>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</si>
  <si>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</si>
  <si>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</si>
  <si>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</si>
  <si>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</si>
  <si>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</si>
  <si>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</si>
  <si>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</si>
  <si>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</si>
  <si>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</si>
  <si>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</si>
  <si>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</si>
  <si>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</si>
  <si>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</si>
  <si>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</si>
  <si>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</si>
  <si>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</si>
  <si>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</si>
  <si>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</si>
  <si>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</si>
  <si>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</si>
  <si>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</si>
  <si>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</si>
  <si>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</si>
  <si>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</si>
  <si>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</si>
  <si>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</si>
  <si>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</si>
  <si>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</si>
  <si>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</si>
  <si>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</si>
  <si>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</si>
  <si>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</si>
  <si>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</si>
  <si>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</si>
  <si>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</si>
  <si>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</si>
  <si>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</si>
  <si>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</si>
  <si>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</si>
  <si>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</si>
  <si>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</si>
  <si>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</si>
  <si>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</si>
  <si>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</si>
  <si>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</si>
  <si>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</si>
  <si>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</si>
  <si>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</si>
  <si>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</si>
  <si>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</si>
  <si>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</si>
  <si>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</si>
  <si>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</si>
  <si>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</si>
  <si>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</si>
  <si>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</si>
  <si>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</si>
  <si>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</si>
  <si>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</si>
  <si>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</si>
  <si>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</si>
  <si>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</si>
  <si>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</si>
  <si>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</si>
  <si>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</si>
  <si>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</si>
  <si>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</si>
  <si>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</si>
  <si>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</si>
  <si>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</si>
  <si>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</si>
  <si>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</si>
  <si>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</si>
  <si>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</si>
  <si>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</si>
  <si>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</si>
  <si>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</si>
  <si>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</si>
  <si>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</si>
  <si>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</si>
  <si>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</si>
  <si>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</si>
  <si>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</si>
  <si>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</si>
  <si>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</si>
  <si>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</si>
  <si>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</si>
  <si>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</si>
  <si>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</si>
  <si>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</si>
  <si>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</si>
  <si>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</si>
  <si>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</si>
  <si>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</si>
  <si>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</si>
  <si>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</si>
  <si>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</si>
  <si>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</si>
  <si>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</si>
  <si>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</si>
  <si>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</si>
  <si>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</si>
  <si>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</si>
  <si>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</si>
  <si>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</si>
  <si>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</si>
  <si>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</si>
  <si>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</si>
  <si>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</si>
  <si>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</si>
  <si>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</si>
  <si>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</si>
  <si>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</si>
  <si>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</si>
  <si>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</si>
  <si>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</si>
  <si>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</si>
  <si>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</si>
  <si>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</si>
  <si>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</si>
  <si>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</si>
  <si>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</si>
  <si>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</si>
  <si>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</si>
  <si>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</si>
  <si>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</si>
  <si>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</si>
  <si>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</si>
  <si>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</si>
  <si>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</si>
  <si>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</si>
  <si>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</si>
  <si>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</si>
  <si>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</si>
  <si>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</si>
  <si>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</si>
  <si>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</si>
  <si>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</si>
  <si>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</si>
  <si>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</si>
  <si>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</si>
  <si>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</si>
  <si>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</si>
  <si>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</si>
  <si>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</si>
  <si>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</si>
  <si>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</si>
  <si>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</si>
  <si>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</si>
  <si>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</si>
  <si>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</si>
  <si>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</si>
  <si>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</si>
  <si>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</si>
  <si>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</si>
  <si>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</si>
  <si>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</si>
  <si>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</si>
  <si>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</si>
  <si>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</si>
  <si>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</si>
  <si>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</si>
  <si>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</si>
  <si>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</si>
  <si>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</si>
  <si>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</si>
  <si>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</si>
  <si>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</si>
  <si>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</si>
  <si>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</si>
  <si>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</si>
  <si>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</si>
  <si>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</si>
  <si>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</si>
  <si>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</si>
  <si>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</si>
  <si>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</si>
  <si>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</si>
  <si>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</si>
  <si>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</si>
  <si>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</si>
  <si>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</si>
  <si>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</si>
  <si>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</si>
  <si>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</si>
  <si>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</si>
  <si>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</si>
  <si>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</si>
  <si>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</si>
  <si>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</si>
  <si>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</si>
  <si>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</si>
  <si>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</si>
  <si>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</si>
  <si>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</si>
  <si>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</si>
  <si>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</si>
  <si>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</si>
  <si>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</si>
  <si>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</si>
  <si>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</si>
  <si>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</si>
  <si>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</si>
  <si>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</si>
  <si>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</si>
  <si>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</si>
  <si>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</si>
  <si>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</si>
  <si>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</si>
  <si>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</si>
  <si>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</si>
  <si>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</si>
  <si>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</si>
  <si>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</si>
  <si>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</si>
  <si>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</si>
  <si>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</si>
  <si>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</si>
  <si>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</si>
  <si>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</si>
  <si>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</si>
  <si>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</si>
  <si>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</si>
  <si>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</si>
  <si>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</si>
  <si>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</si>
  <si>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</si>
  <si>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</si>
  <si>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</si>
  <si>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</si>
  <si>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</si>
  <si>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</si>
  <si>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</si>
  <si>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</si>
  <si>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</si>
  <si>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</si>
  <si>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</si>
  <si>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</si>
  <si>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</si>
  <si>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</si>
  <si>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</si>
  <si>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</si>
  <si>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</si>
  <si>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</si>
  <si>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</si>
  <si>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</si>
  <si>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</si>
  <si>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</si>
  <si>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</si>
  <si>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</si>
  <si>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</si>
  <si>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</si>
  <si>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</si>
  <si>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</si>
  <si>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</si>
  <si>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</si>
  <si>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</si>
  <si>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</si>
  <si>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</si>
  <si>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</si>
  <si>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</si>
  <si>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</si>
  <si>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</si>
  <si>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</si>
  <si>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</si>
  <si>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</si>
  <si>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</si>
  <si>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</si>
  <si>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</si>
  <si>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</si>
  <si>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</si>
  <si>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</si>
  <si>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</si>
  <si>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</si>
  <si>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</si>
  <si>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</si>
  <si>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</si>
  <si>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</si>
  <si>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</si>
  <si>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</si>
  <si>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</si>
  <si>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</si>
  <si>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</si>
  <si>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</si>
  <si>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</si>
  <si>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</si>
  <si>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</si>
  <si>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</si>
  <si>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</si>
  <si>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</si>
  <si>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</si>
  <si>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</si>
  <si>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</si>
  <si>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</si>
  <si>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</si>
  <si>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</si>
  <si>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</si>
  <si>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</si>
  <si>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</si>
  <si>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</si>
  <si>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</si>
  <si>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</si>
  <si>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</si>
  <si>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</si>
  <si>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</si>
  <si>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</si>
  <si>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</si>
  <si>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</si>
  <si>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</si>
  <si>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</si>
  <si>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</si>
  <si>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</si>
  <si>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</si>
  <si>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</si>
  <si>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</si>
  <si>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</si>
  <si>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</si>
  <si>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</si>
  <si>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</si>
  <si>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</si>
  <si>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</si>
  <si>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</si>
  <si>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</si>
  <si>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</si>
  <si>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</si>
  <si>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</si>
  <si>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</si>
  <si>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</si>
  <si>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</si>
  <si>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</si>
  <si>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</si>
  <si>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</si>
  <si>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</si>
  <si>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</si>
  <si>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</si>
  <si>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</si>
  <si>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</si>
  <si>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</si>
  <si>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</si>
  <si>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</si>
  <si>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</si>
  <si>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</si>
  <si>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</si>
  <si>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</si>
  <si>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</si>
  <si>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</si>
  <si>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</si>
  <si>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</si>
  <si>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</si>
  <si>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</si>
  <si>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</si>
  <si>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</si>
  <si>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</si>
  <si>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</si>
  <si>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</si>
  <si>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</si>
  <si>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</si>
  <si>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</si>
  <si>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</si>
  <si>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</si>
  <si>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</si>
  <si>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</si>
  <si>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</si>
  <si>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</si>
  <si>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</si>
  <si>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</si>
  <si>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</si>
  <si>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</si>
  <si>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</si>
  <si>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</si>
  <si>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</si>
  <si>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</si>
  <si>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</si>
  <si>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</si>
  <si>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</si>
  <si>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</si>
  <si>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</si>
  <si>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</si>
  <si>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</si>
  <si>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</si>
  <si>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</si>
  <si>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</si>
  <si>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</si>
  <si>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</si>
  <si>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</si>
  <si>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</si>
  <si>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</si>
  <si>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</si>
  <si>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</si>
  <si>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</si>
  <si>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</si>
  <si>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</si>
  <si>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</si>
  <si>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</si>
  <si>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</si>
  <si>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</si>
  <si>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</si>
  <si>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</si>
  <si>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</si>
  <si>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</si>
  <si>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</si>
  <si>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</si>
  <si>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</si>
  <si>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</si>
  <si>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</si>
  <si>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</si>
  <si>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</si>
  <si>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</si>
  <si>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</si>
  <si>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</si>
  <si>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</si>
  <si>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</si>
  <si>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</si>
  <si>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</si>
  <si>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</si>
  <si>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</si>
  <si>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</si>
  <si>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</si>
  <si>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</si>
  <si>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</si>
  <si>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</si>
  <si>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</si>
  <si>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</si>
  <si>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</si>
  <si>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</si>
  <si>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</si>
  <si>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</si>
  <si>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</si>
  <si>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</si>
  <si>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</si>
  <si>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</si>
  <si>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</si>
  <si>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</si>
  <si>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</si>
  <si>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</si>
  <si>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</si>
  <si>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</si>
  <si>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</si>
  <si>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</si>
  <si>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</si>
  <si>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</si>
  <si>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</si>
  <si>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</si>
  <si>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</si>
  <si>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</si>
  <si>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</si>
  <si>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</si>
  <si>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</si>
  <si>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</si>
  <si>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</si>
  <si>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</si>
  <si>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</si>
  <si>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</si>
  <si>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</si>
  <si>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</si>
  <si>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</si>
  <si>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</si>
  <si>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</si>
  <si>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</si>
  <si>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</si>
  <si>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</si>
  <si>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</si>
  <si>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</si>
  <si>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</si>
  <si>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</si>
  <si>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</si>
  <si>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</si>
  <si>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</si>
  <si>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</si>
  <si>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</si>
  <si>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</si>
  <si>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</si>
  <si>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</si>
  <si>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</si>
  <si>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</si>
  <si>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</si>
  <si>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</si>
  <si>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</si>
  <si>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</si>
  <si>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</si>
  <si>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</si>
  <si>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</si>
  <si>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</si>
  <si>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</si>
  <si>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</si>
  <si>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</si>
  <si>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</si>
  <si>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</si>
  <si>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</si>
  <si>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</si>
  <si>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</si>
  <si>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</si>
  <si>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</si>
  <si>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</si>
  <si>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</si>
  <si>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</si>
  <si>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</si>
  <si>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</si>
  <si>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</si>
  <si>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</si>
  <si>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</si>
  <si>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</si>
  <si>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</si>
  <si>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</si>
  <si>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</si>
  <si>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</si>
  <si>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</si>
  <si>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</si>
  <si>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</si>
  <si>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</si>
  <si>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</si>
  <si>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</si>
  <si>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</si>
  <si>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</si>
  <si>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</si>
  <si>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</si>
  <si>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</si>
  <si>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</si>
  <si>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</si>
  <si>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</si>
  <si>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</si>
  <si>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</si>
  <si>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</si>
  <si>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</si>
  <si>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</si>
  <si>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</si>
  <si>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</si>
  <si>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</si>
  <si>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</si>
  <si>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</si>
  <si>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</si>
  <si>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</si>
  <si>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</si>
  <si>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</si>
  <si>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</si>
  <si>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</si>
  <si>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</si>
  <si>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</si>
  <si>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</si>
  <si>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</si>
  <si>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</si>
  <si>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</si>
  <si>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</si>
  <si>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</si>
  <si>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</si>
  <si>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</si>
  <si>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</si>
  <si>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</si>
  <si>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</si>
  <si>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</si>
  <si>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</si>
  <si>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</si>
  <si>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</si>
  <si>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</si>
  <si>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</si>
  <si>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</si>
  <si>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</si>
  <si>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</si>
  <si>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</si>
  <si>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</si>
  <si>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</si>
  <si>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</si>
  <si>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</si>
  <si>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</si>
  <si>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</si>
  <si>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</si>
  <si>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</si>
  <si>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</si>
  <si>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</si>
  <si>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</si>
  <si>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</si>
  <si>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</si>
  <si>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</si>
  <si>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</si>
  <si>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</si>
  <si>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</si>
  <si>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</si>
  <si>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</si>
  <si>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</si>
  <si>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</si>
  <si>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</si>
  <si>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</si>
  <si>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</si>
  <si>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</si>
  <si>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</si>
  <si>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</si>
  <si>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</si>
  <si>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</si>
  <si>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</si>
  <si>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</si>
  <si>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</si>
  <si>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</si>
  <si>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</si>
  <si>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</si>
  <si>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</si>
  <si>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</si>
  <si>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</si>
  <si>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</si>
  <si>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</si>
  <si>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</si>
  <si>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</si>
  <si>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</si>
  <si>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</si>
  <si>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</si>
  <si>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</si>
  <si>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</si>
  <si>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</si>
  <si>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</si>
  <si>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</si>
  <si>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</si>
  <si>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</si>
  <si>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</si>
  <si>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</si>
  <si>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</si>
  <si>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</si>
  <si>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</si>
  <si>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</si>
  <si>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</si>
  <si>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</si>
  <si>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</si>
  <si>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</si>
  <si>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</si>
  <si>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</si>
  <si>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Fisk Alloy, Inc.</t>
  </si>
  <si>
    <t>32470</t>
  </si>
  <si>
    <t>iPoint Conflict Minerals Platform</t>
  </si>
  <si>
    <t>10 Thomas Road N.</t>
  </si>
  <si>
    <t>Joe Rodriguez</t>
  </si>
  <si>
    <t>jmentekidis@fiskalloy.com</t>
  </si>
  <si>
    <t>Jim Mentekidis</t>
  </si>
  <si>
    <t>Director, Technical Services</t>
  </si>
  <si>
    <t>973-825-8439</t>
  </si>
  <si>
    <t>973-825-8466</t>
  </si>
  <si>
    <t>jrodriguez@fiskalloy.com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</si>
</sst>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15495</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t="s">
        <v>15496</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15497</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15498</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7" t="s">
        <v>15504</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15503</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15500</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15501</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7" t="s">
        <v>15499</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15502</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43581</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v>1</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v>1</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559</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559</v>
      </c>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D6" sqref="D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1251</v>
      </c>
      <c r="C5" s="220" t="s">
        <v>1151</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68" ca="1" si="0">IF(B5="","",IF(ISERROR(MATCH($E5,CL,0)),"Unknown",INDIRECT("'C'!$A$"&amp;MATCH($E5,CL,0)+1)))</f>
        <v>PE</v>
      </c>
      <c r="T5" s="224" t="str">
        <f ca="1">IF(B5="","",IF(ISERROR(MATCH($J5,SorP!$B$1:$B$6230,0)),"",INDIRECT("'SorP'!$A$"&amp;MATCH($J5,SorP!$B$1:$B$6230,0))))</f>
        <v>PE-ICA</v>
      </c>
      <c r="U5" s="239"/>
      <c r="V5" s="269">
        <f>IF(C5="",NA(),MATCH($B5&amp;$C5,'Smelter Look-up'!$J:$J,0))</f>
        <v>428</v>
      </c>
      <c r="W5" s="270"/>
      <c r="X5" s="270">
        <f t="shared" ref="X5:X68" ca="1" si="1">IF(AND(C5="Smelter not listed",OR(LEN(D5)=0,LEN(E5)=0)),1,0)</f>
        <v>0</v>
      </c>
      <c r="Y5" s="270"/>
      <c r="Z5" s="270"/>
      <c r="AB5" s="272" t="str">
        <f t="shared" ref="AB5:AB68" si="2">B5&amp;C5</f>
        <v>TinMinsur</v>
      </c>
    </row>
    <row r="6" spans="1:34" s="271" customFormat="1" ht="20.100000000000001" customHeight="1">
      <c r="A6" s="215"/>
      <c r="B6" s="216" t="s">
        <v>1250</v>
      </c>
      <c r="C6" s="220" t="s">
        <v>1029</v>
      </c>
      <c r="D6" s="216"/>
      <c r="E6" s="216" t="str">
        <f ca="1">IF(ISERROR($V6),"",OFFSET('Smelter Look-up'!$D$4,$V6-4,0)&amp;"")</f>
        <v>CANADA</v>
      </c>
      <c r="F6" s="216" t="str">
        <f ca="1">IF(ISERROR($V6),"",OFFSET('Smelter Look-up'!$E$4,$V6-4,0))</f>
        <v>CID001534</v>
      </c>
      <c r="G6" s="216" t="str">
        <f ca="1">IF(C6=$X$4,"Enter smelter details", IF(ISERROR($V6),"",OFFSET('Smelter Look-up'!$F$4,$V6-4,0)))</f>
        <v>RMI</v>
      </c>
      <c r="H6" s="217">
        <f ca="1">IF(ISERROR($V6),"",OFFSET('Smelter Look-up'!$G$4,$V6-4,0))</f>
        <v>0</v>
      </c>
      <c r="I6" s="218" t="str">
        <f ca="1">IF(ISERROR($V6),"",OFFSET('Smelter Look-up'!$H$4,$V6-4,0))</f>
        <v>Ottawa</v>
      </c>
      <c r="J6" s="218" t="str">
        <f ca="1">IF(ISERROR($V6),"",OFFSET('Smelter Look-up'!$I$4,$V6-4,0))</f>
        <v>Ontario</v>
      </c>
      <c r="K6" s="267"/>
      <c r="L6" s="267"/>
      <c r="M6" s="267"/>
      <c r="N6" s="267"/>
      <c r="O6" s="267"/>
      <c r="P6" s="219"/>
      <c r="Q6" s="268"/>
      <c r="R6" s="216" t="str">
        <f ca="1">IF(ISERROR($V6),"",OFFSET('Smelter Look-up'!$C$4,$V6-4,0)&amp;"")</f>
        <v>Royal Canadian Mint</v>
      </c>
      <c r="S6" s="224" t="str">
        <f t="shared" ca="1" si="0"/>
        <v>CA</v>
      </c>
      <c r="T6" s="224" t="str">
        <f ca="1">IF(B6="","",IF(ISERROR(MATCH($J6,SorP!$B$1:$B$6230,0)),"",INDIRECT("'SorP'!$A$"&amp;MATCH($J6,SorP!$B$1:$B$6230,0))))</f>
        <v>CA-ON</v>
      </c>
      <c r="U6" s="239"/>
      <c r="V6" s="269">
        <f>IF(C6="",NA(),MATCH($B6&amp;$C6,'Smelter Look-up'!$J:$J,0))</f>
        <v>194</v>
      </c>
      <c r="W6" s="270"/>
      <c r="X6" s="270">
        <f t="shared" ca="1" si="1"/>
        <v>0</v>
      </c>
      <c r="Y6" s="270"/>
      <c r="Z6" s="270"/>
      <c r="AB6" s="272" t="str">
        <f t="shared" si="2"/>
        <v>GoldRoyal Canadian Mint</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Fisk Alloy,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Joe Rodriguez</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jrodriguez@fiskalloy.com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973-825-8466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Jim Mentekidis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jmentekidis@fiskalloy.com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973-825-8439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No</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No</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25" sqref="D2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Rodriguez, Joe</cp:lastModifiedBy>
  <cp:lastPrinted>2015-04-21T20:47:43Z</cp:lastPrinted>
  <dcterms:created xsi:type="dcterms:W3CDTF">2010-06-21T21:00:23Z</dcterms:created>
  <dcterms:modified xsi:type="dcterms:W3CDTF">2019-05-10T15:53:24Z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