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5976" windowHeight="160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9" i="6" l="1"/>
  <c r="C11" i="6"/>
  <c r="C10" i="6"/>
  <c r="C8"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51" i="6" s="1"/>
  <c r="H51" i="6" s="1"/>
  <c r="D51" i="6" s="1"/>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46" i="6"/>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F36" i="6" l="1"/>
  <c r="F41" i="6"/>
  <c r="H41" i="6" s="1"/>
  <c r="D41" i="6" s="1"/>
  <c r="F31" i="6"/>
  <c r="F67" i="6"/>
  <c r="H36" i="6"/>
  <c r="D36"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<sst xmlns="http://schemas.openxmlformats.org/spreadsheetml/2006/main" count="21970" uniqueCount="15617">
  <si>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</si>
  <si>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</si>
  <si>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</si>
  <si>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</si>
  <si>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</si>
  <si>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</si>
  <si>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</si>
  <si>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</si>
  <si>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</si>
  <si>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</si>
  <si>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</si>
  <si>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</si>
  <si>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</si>
  <si>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</si>
  <si>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</si>
  <si>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</si>
  <si>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</si>
  <si>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</si>
  <si>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</si>
  <si>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</si>
  <si>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</si>
  <si>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</si>
  <si>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</si>
  <si>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</si>
  <si>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</si>
  <si>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</si>
  <si>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</si>
  <si>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</si>
  <si>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</si>
  <si>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</si>
  <si>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</si>
  <si>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</si>
  <si>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</si>
  <si>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</si>
  <si>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</si>
  <si>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</si>
  <si>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</si>
  <si>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</si>
  <si>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</si>
  <si>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</si>
  <si>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</si>
  <si>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</si>
  <si>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</si>
  <si>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</si>
  <si>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</si>
  <si>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</si>
  <si>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</si>
  <si>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</si>
  <si>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</si>
  <si>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</si>
  <si>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</si>
  <si>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</si>
  <si>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</si>
  <si>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</si>
  <si>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</si>
  <si>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</si>
  <si>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</si>
  <si>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</si>
  <si>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</si>
  <si>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</si>
  <si>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</si>
  <si>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</si>
  <si>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</si>
  <si>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</si>
  <si>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</si>
  <si>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</si>
  <si>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</si>
  <si>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</si>
  <si>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</si>
  <si>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</si>
  <si>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</si>
  <si>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</si>
  <si>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</si>
  <si>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</si>
  <si>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</si>
  <si>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</si>
  <si>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</si>
  <si>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</si>
  <si>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</si>
  <si>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</si>
  <si>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</si>
  <si>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</si>
  <si>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</si>
  <si>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</si>
  <si>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</si>
  <si>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</si>
  <si>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</si>
  <si>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</si>
  <si>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</si>
  <si>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</si>
  <si>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</si>
  <si>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</si>
  <si>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</si>
  <si>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</si>
  <si>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</si>
  <si>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</si>
  <si>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</si>
  <si>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</si>
  <si>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</si>
  <si>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</si>
  <si>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</si>
  <si>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</si>
  <si>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</si>
  <si>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</si>
  <si>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</si>
  <si>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</si>
  <si>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</si>
  <si>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</si>
  <si>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</si>
  <si>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</si>
  <si>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</si>
  <si>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</si>
  <si>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</si>
  <si>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</si>
  <si>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</si>
  <si>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</si>
  <si>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</si>
  <si>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</si>
  <si>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</si>
  <si>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</si>
  <si>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</si>
  <si>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</si>
  <si>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</si>
  <si>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</si>
  <si>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</si>
  <si>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</si>
  <si>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</si>
  <si>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</si>
  <si>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</si>
  <si>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</si>
  <si>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</si>
  <si>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</si>
  <si>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</si>
  <si>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</si>
  <si>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</si>
  <si>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</si>
  <si>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</si>
  <si>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</si>
  <si>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</si>
  <si>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</si>
  <si>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</si>
  <si>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</si>
  <si>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</si>
  <si>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</si>
  <si>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</si>
  <si>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</si>
  <si>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</si>
  <si>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</si>
  <si>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</si>
  <si>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</si>
  <si>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</si>
  <si>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</si>
  <si>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</si>
  <si>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</si>
  <si>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</si>
  <si>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</si>
  <si>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</si>
  <si>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</si>
  <si>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</si>
  <si>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</si>
  <si>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</si>
  <si>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</si>
  <si>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</si>
  <si>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</si>
  <si>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</si>
  <si>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</si>
  <si>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</si>
  <si>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</si>
  <si>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</si>
  <si>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</si>
  <si>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</si>
  <si>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</si>
  <si>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</si>
  <si>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</si>
  <si>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</si>
  <si>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</si>
  <si>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</si>
  <si>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</si>
  <si>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</si>
  <si>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</si>
  <si>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</si>
  <si>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</si>
  <si>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</si>
  <si>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</si>
  <si>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</si>
  <si>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</si>
  <si>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</si>
  <si>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</si>
  <si>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</si>
  <si>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</si>
  <si>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</si>
  <si>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</si>
  <si>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</si>
  <si>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</si>
  <si>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</si>
  <si>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</si>
  <si>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</si>
  <si>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</si>
  <si>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</si>
  <si>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</si>
  <si>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</si>
  <si>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</si>
  <si>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</si>
  <si>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</si>
  <si>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</si>
  <si>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</si>
  <si>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</si>
  <si>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</si>
  <si>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</si>
  <si>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</si>
  <si>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</si>
  <si>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</si>
  <si>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</si>
  <si>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</si>
  <si>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</si>
  <si>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</si>
  <si>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</si>
  <si>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</si>
  <si>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</si>
  <si>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</si>
  <si>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</si>
  <si>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</si>
  <si>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</si>
  <si>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</si>
  <si>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</si>
  <si>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</si>
  <si>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</si>
  <si>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</si>
  <si>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</si>
  <si>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</si>
  <si>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</si>
  <si>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</si>
  <si>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</si>
  <si>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</si>
  <si>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</si>
  <si>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</si>
  <si>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</si>
  <si>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</si>
  <si>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</si>
  <si>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</si>
  <si>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</si>
  <si>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</si>
  <si>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</si>
  <si>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</si>
  <si>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</si>
  <si>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</si>
  <si>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</si>
  <si>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</si>
  <si>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</si>
  <si>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</si>
  <si>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</si>
  <si>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</si>
  <si>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</si>
  <si>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</si>
  <si>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</si>
  <si>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</si>
  <si>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</si>
  <si>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</si>
  <si>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</si>
  <si>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</si>
  <si>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</si>
  <si>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</si>
  <si>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</si>
  <si>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</si>
  <si>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</si>
  <si>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</si>
  <si>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</si>
  <si>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</si>
  <si>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</si>
  <si>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</si>
  <si>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</si>
  <si>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</si>
  <si>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</si>
  <si>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</si>
  <si>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</si>
  <si>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</si>
  <si>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</si>
  <si>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</si>
  <si>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</si>
  <si>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</si>
  <si>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</si>
  <si>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</si>
  <si>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</si>
  <si>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</si>
  <si>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</si>
  <si>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</si>
  <si>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</si>
  <si>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</si>
  <si>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</si>
  <si>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</si>
  <si>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</si>
  <si>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</si>
  <si>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</si>
  <si>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</si>
  <si>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</si>
  <si>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</si>
  <si>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</si>
  <si>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</si>
  <si>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</si>
  <si>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</si>
  <si>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</si>
  <si>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</si>
  <si>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</si>
  <si>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</si>
  <si>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</si>
  <si>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</si>
  <si>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</si>
  <si>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</si>
  <si>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</si>
  <si>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</si>
  <si>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</si>
  <si>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</si>
  <si>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</si>
  <si>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</si>
  <si>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</si>
  <si>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</si>
  <si>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</si>
  <si>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</si>
  <si>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</si>
  <si>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</si>
  <si>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</si>
  <si>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</si>
  <si>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</si>
  <si>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</si>
  <si>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</si>
  <si>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</si>
  <si>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</si>
  <si>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</si>
  <si>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</si>
  <si>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</si>
  <si>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</si>
  <si>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</si>
  <si>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</si>
  <si>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</si>
  <si>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</si>
  <si>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</si>
  <si>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</si>
  <si>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</si>
  <si>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</si>
  <si>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</si>
  <si>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</si>
  <si>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</si>
  <si>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</si>
  <si>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</si>
  <si>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</si>
  <si>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</si>
  <si>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</si>
  <si>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</si>
  <si>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</si>
  <si>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</si>
  <si>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</si>
  <si>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</si>
  <si>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</si>
  <si>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</si>
  <si>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</si>
  <si>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</si>
  <si>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</si>
  <si>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</si>
  <si>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</si>
  <si>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</si>
  <si>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</si>
  <si>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</si>
  <si>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</si>
  <si>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</si>
  <si>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</si>
  <si>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</si>
  <si>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</si>
  <si>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</si>
  <si>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</si>
  <si>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</si>
  <si>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</si>
  <si>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</si>
  <si>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</si>
  <si>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</si>
  <si>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</si>
  <si>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</si>
  <si>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</si>
  <si>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</si>
  <si>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</si>
  <si>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</si>
  <si>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</si>
  <si>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</si>
  <si>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</si>
  <si>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</si>
  <si>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</si>
  <si>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</si>
  <si>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</si>
  <si>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</si>
  <si>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</si>
  <si>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</si>
  <si>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</si>
  <si>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</si>
  <si>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</si>
  <si>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</si>
  <si>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</si>
  <si>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</si>
  <si>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</si>
  <si>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</si>
  <si>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</si>
  <si>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</si>
  <si>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</si>
  <si>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</si>
  <si>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</si>
  <si>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</si>
  <si>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</si>
  <si>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</si>
  <si>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</si>
  <si>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</si>
  <si>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</si>
  <si>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</si>
  <si>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</si>
  <si>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</si>
  <si>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</si>
  <si>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</si>
  <si>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</si>
  <si>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</si>
  <si>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</si>
  <si>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</si>
  <si>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</si>
  <si>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</si>
  <si>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</si>
  <si>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</si>
  <si>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</si>
  <si>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</si>
  <si>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</si>
  <si>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</si>
  <si>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</si>
  <si>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</si>
  <si>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</si>
  <si>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</si>
  <si>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</si>
  <si>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</si>
  <si>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</si>
  <si>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</si>
  <si>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</si>
  <si>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</si>
  <si>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</si>
  <si>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</si>
  <si>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</si>
  <si>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</si>
  <si>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</si>
  <si>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</si>
  <si>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</si>
  <si>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</si>
  <si>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</si>
  <si>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</si>
  <si>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</si>
  <si>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</si>
  <si>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</si>
  <si>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</si>
  <si>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</si>
  <si>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</si>
  <si>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</si>
  <si>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</si>
  <si>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</si>
  <si>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</si>
  <si>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</si>
  <si>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</si>
  <si>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</si>
  <si>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</si>
  <si>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</si>
  <si>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</si>
  <si>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</si>
  <si>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</si>
  <si>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</si>
  <si>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</si>
  <si>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</si>
  <si>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</si>
  <si>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</si>
  <si>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</si>
  <si>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</si>
  <si>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</si>
  <si>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</si>
  <si>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</si>
  <si>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</si>
  <si>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</si>
  <si>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</si>
  <si>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</si>
  <si>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</si>
  <si>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</si>
  <si>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</si>
  <si>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</si>
  <si>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</si>
  <si>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</si>
  <si>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</si>
  <si>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</si>
  <si>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</si>
  <si>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</si>
  <si>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</si>
  <si>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</si>
  <si>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</si>
  <si>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</si>
  <si>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</si>
  <si>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</si>
  <si>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</si>
  <si>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</si>
  <si>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</si>
  <si>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</si>
  <si>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</si>
  <si>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</si>
  <si>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</si>
  <si>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</si>
  <si>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</si>
  <si>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</si>
  <si>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</si>
  <si>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</si>
  <si>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</si>
  <si>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</si>
  <si>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</si>
  <si>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</si>
  <si>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</si>
  <si>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</si>
  <si>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</si>
  <si>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</si>
  <si>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</si>
  <si>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</si>
  <si>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</si>
  <si>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</si>
  <si>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</si>
  <si>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</si>
  <si>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</si>
  <si>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</si>
  <si>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</si>
  <si>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</si>
  <si>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</si>
  <si>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</si>
  <si>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</si>
  <si>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</si>
  <si>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</si>
  <si>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</si>
  <si>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</si>
  <si>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</si>
  <si>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</si>
  <si>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</si>
  <si>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</si>
  <si>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</si>
  <si>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</si>
  <si>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</si>
  <si>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</si>
  <si>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</si>
  <si>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</si>
  <si>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</si>
  <si>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</si>
  <si>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</si>
  <si>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</si>
  <si>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</si>
  <si>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</si>
  <si>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</si>
  <si>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</si>
  <si>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</si>
  <si>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</si>
  <si>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</si>
  <si>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</si>
  <si>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</si>
  <si>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</si>
  <si>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</si>
  <si>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</si>
  <si>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</si>
  <si>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</si>
  <si>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</si>
  <si>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</si>
  <si>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</si>
  <si>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</si>
  <si>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</si>
  <si>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</si>
  <si>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</si>
  <si>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</si>
  <si>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</si>
  <si>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</si>
  <si>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</si>
  <si>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</si>
  <si>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</si>
  <si>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</si>
  <si>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</si>
  <si>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</si>
  <si>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</si>
  <si>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</si>
  <si>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</si>
  <si>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</si>
  <si>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</si>
  <si>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</si>
  <si>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</si>
  <si>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</si>
  <si>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</si>
  <si>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</si>
  <si>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</si>
  <si>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</si>
  <si>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</si>
  <si>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</si>
  <si>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</si>
  <si>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</si>
  <si>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</si>
  <si>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</si>
  <si>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</si>
  <si>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</si>
  <si>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</si>
  <si>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</si>
  <si>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</si>
  <si>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</si>
  <si>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</si>
  <si>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</si>
  <si>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</si>
  <si>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</si>
  <si>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</si>
  <si>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</si>
  <si>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</si>
  <si>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</si>
  <si>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</si>
  <si>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</si>
  <si>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</si>
  <si>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</si>
  <si>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</si>
  <si>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</si>
  <si>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</si>
  <si>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</si>
  <si>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</si>
  <si>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</si>
  <si>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</si>
  <si>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</si>
  <si>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</si>
  <si>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</si>
  <si>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</si>
  <si>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</si>
  <si>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</si>
  <si>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</si>
  <si>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</si>
  <si>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</si>
  <si>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</si>
  <si>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</si>
  <si>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</si>
  <si>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</si>
  <si>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</si>
  <si>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</si>
  <si>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</si>
  <si>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</si>
  <si>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</si>
  <si>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</si>
  <si>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</si>
  <si>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</si>
  <si>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</si>
  <si>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</si>
  <si>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</si>
  <si>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</si>
  <si>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</si>
  <si>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</si>
  <si>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</si>
  <si>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</si>
  <si>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</si>
  <si>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</si>
  <si>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</si>
  <si>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</si>
  <si>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</si>
  <si>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</si>
  <si>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</si>
  <si>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</si>
  <si>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</si>
  <si>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</si>
  <si>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</si>
  <si>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</si>
  <si>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</si>
  <si>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</si>
  <si>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</si>
  <si>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</si>
  <si>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</si>
  <si>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</si>
  <si>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</si>
  <si>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</si>
  <si>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</si>
  <si>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</si>
  <si>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</si>
  <si>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</si>
  <si>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</si>
  <si>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</si>
  <si>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</si>
  <si>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</si>
  <si>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</si>
  <si>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</si>
  <si>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</si>
  <si>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</si>
  <si>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</si>
  <si>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</si>
  <si>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</si>
  <si>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</si>
  <si>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</si>
  <si>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</si>
  <si>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</si>
  <si>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</si>
  <si>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</si>
  <si>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</si>
  <si>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</si>
  <si>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</si>
  <si>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</si>
  <si>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</si>
  <si>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</si>
  <si>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</si>
  <si>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</si>
  <si>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</si>
  <si>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</si>
  <si>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</si>
  <si>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</si>
  <si>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</si>
  <si>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</si>
  <si>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</si>
  <si>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</si>
  <si>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</si>
  <si>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</si>
  <si>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</si>
  <si>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</si>
  <si>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</si>
  <si>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</si>
  <si>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</si>
  <si>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</si>
  <si>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</si>
  <si>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</si>
  <si>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</si>
  <si>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</si>
  <si>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</si>
  <si>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</si>
  <si>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</si>
  <si>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</si>
  <si>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</si>
  <si>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</si>
  <si>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</si>
  <si>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</si>
  <si>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</si>
  <si>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</si>
  <si>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</si>
  <si>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</si>
  <si>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</si>
  <si>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</si>
  <si>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</si>
  <si>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</si>
  <si>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</si>
  <si>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</si>
  <si>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</si>
  <si>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</si>
  <si>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</si>
  <si>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</si>
  <si>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</si>
  <si>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</si>
  <si>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</si>
  <si>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</si>
  <si>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</si>
  <si>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</si>
  <si>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</si>
  <si>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</si>
  <si>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</si>
  <si>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</si>
  <si>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</si>
  <si>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</si>
  <si>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</si>
  <si>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</si>
  <si>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</si>
  <si>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</si>
  <si>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</si>
  <si>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</si>
  <si>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</si>
  <si>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</si>
  <si>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</si>
  <si>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</si>
  <si>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</si>
  <si>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</si>
  <si>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</si>
  <si>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</si>
  <si>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</si>
  <si>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</si>
  <si>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</si>
  <si>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</si>
  <si>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</si>
  <si>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</si>
  <si>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</si>
  <si>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</si>
  <si>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</si>
  <si>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</si>
  <si>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</si>
  <si>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</si>
  <si>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</si>
  <si>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</si>
  <si>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</si>
  <si>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</si>
  <si>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</si>
  <si>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</si>
  <si>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</si>
  <si>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</si>
  <si>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</si>
  <si>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</si>
  <si>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</si>
  <si>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</si>
  <si>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</si>
  <si>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</si>
  <si>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</si>
  <si>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</si>
  <si>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</si>
  <si>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</si>
  <si>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</si>
  <si>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</si>
  <si>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</si>
  <si>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</si>
  <si>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</si>
  <si>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</si>
  <si>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</si>
  <si>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</si>
  <si>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</si>
  <si>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</si>
  <si>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</si>
  <si>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</si>
  <si>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</si>
  <si>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</si>
  <si>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</si>
  <si>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</si>
  <si>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</si>
  <si>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</si>
  <si>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</si>
  <si>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</si>
  <si>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</si>
  <si>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</si>
  <si>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</si>
  <si>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</si>
  <si>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</si>
  <si>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</si>
  <si>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</si>
  <si>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</si>
  <si>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</si>
  <si>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</si>
  <si>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</si>
  <si>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</si>
  <si>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</si>
  <si>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</si>
  <si>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</si>
  <si>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</si>
  <si>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</si>
  <si>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</si>
  <si>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</si>
  <si>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</si>
  <si>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</si>
  <si>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</si>
  <si>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</si>
  <si>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</si>
  <si>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</si>
  <si>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</si>
  <si>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</si>
  <si>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</si>
  <si>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</si>
  <si>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</si>
  <si>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</si>
  <si>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</si>
  <si>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</si>
  <si>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</si>
  <si>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</si>
  <si>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</si>
  <si>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</si>
  <si>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</si>
  <si>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</si>
  <si>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</si>
  <si>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</si>
  <si>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</si>
  <si>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</si>
  <si>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</si>
  <si>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</si>
  <si>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</si>
  <si>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</si>
  <si>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</si>
  <si>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</si>
  <si>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</si>
  <si>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</si>
  <si>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</si>
  <si>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</si>
  <si>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</si>
  <si>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</si>
  <si>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</si>
  <si>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</si>
  <si>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</si>
  <si>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</si>
  <si>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</si>
  <si>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</si>
  <si>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</si>
  <si>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</si>
  <si>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</si>
  <si>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</si>
  <si>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</si>
  <si>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</si>
  <si>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</si>
  <si>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</si>
  <si>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</si>
  <si>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</si>
  <si>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</si>
  <si>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</si>
  <si>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</si>
  <si>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</si>
  <si>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</si>
  <si>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</si>
  <si>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</si>
  <si>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</si>
  <si>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</si>
  <si>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</si>
  <si>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</si>
  <si>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</si>
  <si>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</si>
  <si>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</si>
  <si>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</si>
  <si>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</si>
  <si>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</si>
  <si>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</si>
  <si>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</si>
  <si>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</si>
  <si>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</si>
  <si>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</si>
  <si>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</si>
  <si>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</si>
  <si>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</si>
  <si>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</si>
  <si>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</si>
  <si>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</si>
  <si>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</si>
  <si>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</si>
  <si>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</si>
  <si>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</si>
  <si>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</si>
  <si>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</si>
  <si>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</si>
  <si>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</si>
  <si>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</si>
  <si>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</si>
  <si>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</si>
  <si>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</si>
  <si>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</si>
  <si>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</si>
  <si>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</si>
  <si>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</si>
  <si>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</si>
  <si>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</si>
  <si>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</si>
  <si>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</si>
  <si>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</si>
  <si>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</si>
  <si>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</si>
  <si>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</si>
  <si>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</si>
  <si>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</si>
  <si>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</si>
  <si>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</si>
  <si>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</si>
  <si>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</si>
  <si>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</si>
  <si>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</si>
  <si>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</si>
  <si>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</si>
  <si>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</si>
  <si>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</si>
  <si>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</si>
  <si>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</si>
  <si>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</si>
  <si>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</si>
  <si>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</si>
  <si>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</si>
  <si>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</si>
  <si>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</si>
  <si>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</si>
  <si>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</si>
  <si>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</si>
  <si>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</si>
  <si>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</si>
  <si>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</si>
  <si>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</si>
  <si>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</si>
  <si>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</si>
  <si>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</si>
  <si>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</si>
  <si>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</si>
  <si>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</si>
  <si>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</si>
  <si>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</si>
  <si>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</si>
  <si>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</si>
  <si>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</si>
  <si>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</si>
  <si>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</si>
  <si>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</si>
  <si>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</si>
  <si>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</si>
  <si>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</si>
  <si>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</si>
  <si>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</si>
  <si>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</si>
  <si>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</si>
  <si>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</si>
  <si>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</si>
  <si>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</si>
  <si>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</si>
  <si>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</si>
  <si>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</si>
  <si>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</si>
  <si>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</si>
  <si>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</si>
  <si>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</si>
  <si>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</si>
  <si>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</si>
  <si>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</si>
  <si>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</si>
  <si>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</si>
  <si>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</si>
  <si>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</si>
  <si>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</si>
  <si>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</si>
  <si>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</si>
  <si>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</si>
  <si>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</si>
  <si>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</si>
  <si>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</si>
  <si>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</si>
  <si>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</si>
  <si>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</si>
  <si>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</si>
  <si>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</si>
  <si>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</si>
  <si>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</si>
  <si>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</si>
  <si>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</si>
  <si>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</si>
  <si>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</si>
  <si>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</si>
  <si>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</si>
  <si>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</si>
  <si>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</si>
  <si>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</si>
  <si>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</si>
  <si>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</si>
  <si>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</si>
  <si>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</si>
  <si>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</si>
  <si>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</si>
  <si>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</si>
  <si>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</si>
  <si>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</si>
  <si>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</si>
  <si>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</si>
  <si>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</si>
  <si>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</si>
  <si>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</si>
  <si>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</si>
  <si>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</si>
  <si>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</si>
  <si>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</si>
  <si>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</si>
  <si>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</si>
  <si>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</si>
  <si>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</si>
  <si>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</si>
  <si>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</si>
  <si>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</si>
  <si>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</si>
  <si>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</si>
  <si>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</si>
  <si>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</si>
  <si>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</si>
  <si>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</si>
  <si>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</si>
  <si>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</si>
  <si>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</si>
  <si>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</si>
  <si>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</si>
  <si>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</si>
  <si>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</si>
  <si>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</si>
  <si>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</si>
  <si>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</si>
  <si>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</si>
  <si>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</si>
  <si>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</si>
  <si>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</si>
  <si>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</si>
  <si>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</si>
  <si>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</si>
  <si>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</si>
  <si>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</si>
  <si>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</si>
  <si>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</si>
  <si>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</si>
  <si>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</si>
  <si>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</si>
  <si>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</si>
  <si>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</si>
  <si>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</si>
  <si>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</si>
  <si>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</si>
  <si>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</si>
  <si>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</si>
  <si>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</si>
  <si>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</si>
  <si>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</si>
  <si>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</si>
  <si>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</si>
  <si>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</si>
  <si>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</si>
  <si>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</si>
  <si>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</si>
  <si>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</si>
  <si>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</si>
  <si>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</si>
  <si>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</si>
  <si>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</si>
  <si>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</si>
  <si>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</si>
  <si>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</si>
  <si>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</si>
  <si>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</si>
  <si>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</si>
  <si>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</si>
  <si>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</si>
  <si>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</si>
  <si>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</si>
  <si>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</si>
  <si>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</si>
  <si>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</si>
  <si>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</si>
  <si>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</si>
  <si>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</si>
  <si>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</si>
  <si>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</si>
  <si>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</si>
  <si>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</si>
  <si>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</si>
  <si>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</si>
  <si>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</si>
  <si>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</si>
  <si>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</si>
  <si>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</si>
  <si>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</si>
  <si>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</si>
  <si>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</si>
  <si>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</si>
  <si>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</si>
  <si>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</si>
  <si>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</si>
  <si>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</si>
  <si>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</si>
  <si>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</si>
  <si>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</si>
  <si>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</si>
  <si>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</si>
  <si>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</si>
  <si>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</si>
  <si>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</si>
  <si>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</si>
  <si>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</si>
  <si>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</si>
  <si>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</si>
  <si>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</si>
  <si>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</si>
  <si>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</si>
  <si>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</si>
  <si>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</si>
  <si>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</si>
  <si>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</si>
  <si>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</si>
  <si>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</si>
  <si>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</si>
  <si>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</si>
  <si>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</si>
  <si>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</si>
  <si>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</si>
  <si>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</si>
  <si>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</si>
  <si>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</si>
  <si>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</si>
  <si>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</si>
  <si>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</si>
  <si>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</si>
  <si>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</si>
  <si>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</si>
  <si>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</si>
  <si>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</si>
  <si>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</si>
  <si>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</si>
  <si>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</si>
  <si>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</si>
  <si>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</si>
  <si>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</si>
  <si>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</si>
  <si>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</si>
  <si>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</si>
  <si>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</si>
  <si>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</si>
  <si>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</si>
  <si>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</si>
  <si>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</si>
  <si>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</si>
  <si>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</si>
  <si>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</si>
  <si>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</si>
  <si>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</si>
  <si>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</si>
  <si>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</si>
  <si>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</si>
  <si>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</si>
  <si>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</si>
  <si>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</si>
  <si>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</si>
  <si>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</si>
  <si>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</si>
  <si>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</si>
  <si>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</si>
  <si>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</si>
  <si>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</si>
  <si>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</si>
  <si>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</si>
  <si>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</si>
  <si>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</si>
  <si>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</si>
  <si>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</si>
  <si>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</si>
  <si>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</si>
  <si>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</si>
  <si>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</si>
  <si>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</si>
  <si>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</si>
  <si>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</si>
  <si>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</si>
  <si>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</si>
  <si>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</si>
  <si>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</si>
  <si>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</si>
  <si>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</si>
  <si>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</si>
  <si>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</si>
  <si>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</si>
  <si>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</si>
  <si>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</si>
  <si>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</si>
  <si>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</si>
  <si>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</si>
  <si>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</si>
  <si>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</si>
  <si>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</si>
  <si>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</si>
  <si>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</si>
  <si>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</si>
  <si>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</si>
  <si>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</si>
  <si>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</si>
  <si>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</si>
  <si>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</si>
  <si>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</si>
  <si>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</si>
  <si>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</si>
  <si>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</si>
  <si>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</si>
  <si>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</si>
  <si>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</si>
  <si>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</si>
  <si>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</si>
  <si>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</si>
  <si>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</si>
  <si>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</si>
  <si>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</si>
  <si>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</si>
  <si>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</si>
  <si>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</si>
  <si>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</si>
  <si>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</si>
  <si>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</si>
  <si>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</si>
  <si>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</si>
  <si>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</si>
  <si>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</si>
  <si>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</si>
  <si>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</si>
  <si>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</si>
  <si>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</si>
  <si>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</si>
  <si>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</si>
  <si>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</si>
  <si>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</si>
  <si>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</si>
  <si>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</si>
  <si>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</si>
  <si>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</si>
  <si>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</si>
  <si>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</si>
  <si>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</si>
  <si>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</si>
  <si>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</si>
  <si>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</si>
  <si>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</si>
  <si>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</si>
  <si>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</si>
  <si>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</si>
  <si>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</si>
  <si>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</si>
  <si>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</si>
  <si>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</si>
  <si>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</si>
  <si>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</si>
  <si>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</si>
  <si>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</si>
  <si>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</si>
  <si>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</si>
  <si>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</si>
  <si>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</si>
  <si>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</si>
  <si>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</si>
  <si>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</si>
  <si>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</si>
  <si>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</si>
  <si>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</si>
  <si>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</si>
  <si>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</si>
  <si>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</si>
  <si>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</si>
  <si>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</si>
  <si>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</si>
  <si>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</si>
  <si>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</si>
  <si>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</si>
  <si>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</si>
  <si>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</si>
  <si>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</si>
  <si>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</si>
  <si>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</si>
  <si>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</si>
  <si>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</si>
  <si>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</si>
  <si>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</si>
  <si>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</si>
  <si>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</si>
  <si>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</si>
  <si>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</si>
  <si>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</si>
  <si>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</si>
  <si>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</si>
  <si>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</si>
  <si>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</si>
  <si>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</si>
  <si>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</si>
  <si>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</si>
  <si>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</si>
  <si>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</si>
  <si>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</si>
  <si>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</si>
  <si>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</si>
  <si>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</si>
  <si>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</si>
  <si>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</si>
  <si>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</si>
  <si>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</si>
  <si>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</si>
  <si>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</si>
  <si>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</si>
  <si>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</si>
  <si>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</si>
  <si>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</si>
  <si>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</si>
  <si>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</si>
  <si>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</si>
  <si>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</si>
  <si>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</si>
  <si>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</si>
  <si>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</si>
  <si>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</si>
  <si>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</si>
  <si>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</si>
  <si>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</si>
  <si>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</si>
  <si>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</si>
  <si>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</si>
  <si>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</si>
  <si>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</si>
  <si>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</si>
  <si>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</si>
  <si>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</si>
  <si>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</si>
  <si>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</si>
  <si>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</si>
  <si>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</si>
  <si>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</si>
  <si>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</si>
  <si>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</si>
  <si>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</si>
  <si>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</si>
  <si>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</si>
  <si>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</si>
  <si>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</si>
  <si>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</si>
  <si>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</si>
  <si>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</si>
  <si>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</si>
  <si>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</si>
  <si>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</si>
  <si>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</si>
  <si>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</si>
  <si>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</si>
  <si>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</si>
  <si>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</si>
  <si>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</si>
  <si>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</si>
  <si>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</si>
  <si>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</si>
  <si>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</si>
  <si>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</si>
  <si>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</si>
  <si>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</si>
  <si>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</si>
  <si>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</si>
  <si>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</si>
  <si>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</si>
  <si>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</si>
  <si>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</si>
  <si>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</si>
  <si>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</si>
  <si>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</si>
  <si>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</si>
  <si>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</si>
  <si>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</si>
  <si>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</si>
  <si>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</si>
  <si>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</si>
  <si>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</si>
  <si>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</si>
  <si>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</si>
  <si>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</si>
  <si>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</si>
  <si>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</si>
  <si>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</si>
  <si>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</si>
  <si>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</si>
  <si>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</si>
  <si>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</si>
  <si>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</si>
  <si>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</si>
  <si>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</si>
  <si>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</si>
  <si>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</si>
  <si>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</si>
  <si>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</si>
  <si>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</si>
  <si>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</si>
  <si>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</si>
  <si>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</si>
  <si>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</si>
  <si>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</si>
  <si>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</si>
  <si>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</si>
  <si>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</si>
  <si>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</si>
  <si>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</si>
  <si>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</si>
  <si>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</si>
  <si>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</si>
  <si>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</si>
  <si>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</si>
  <si>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</si>
  <si>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</si>
  <si>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</si>
  <si>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</si>
  <si>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</si>
  <si>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</si>
  <si>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</si>
  <si>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</si>
  <si>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</si>
  <si>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</si>
  <si>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</si>
  <si>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</si>
  <si>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</si>
  <si>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</si>
  <si>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</si>
  <si>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</si>
  <si>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</si>
  <si>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</si>
  <si>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</si>
  <si>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</si>
  <si>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</si>
  <si>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</si>
  <si>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</si>
  <si>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</si>
  <si>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</si>
  <si>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</si>
  <si>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</si>
  <si>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</si>
  <si>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</si>
  <si>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</si>
  <si>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</si>
  <si>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</si>
  <si>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</si>
  <si>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</si>
  <si>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</si>
  <si>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</si>
  <si>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</si>
  <si>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</si>
  <si>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</si>
  <si>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</si>
  <si>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</si>
  <si>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</si>
  <si>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</si>
  <si>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</si>
  <si>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</si>
  <si>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</si>
  <si>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</si>
  <si>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</si>
  <si>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</si>
  <si>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</si>
  <si>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</si>
  <si>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</si>
  <si>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</si>
  <si>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</si>
  <si>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</si>
  <si>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</si>
  <si>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</si>
  <si>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</si>
  <si>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</si>
  <si>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</si>
  <si>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</si>
  <si>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</si>
  <si>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</si>
  <si>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</si>
  <si>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</si>
  <si>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</si>
  <si>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</si>
  <si>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</si>
  <si>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</si>
  <si>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</si>
  <si>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</si>
  <si>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</si>
  <si>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</si>
  <si>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</si>
  <si>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</si>
  <si>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</si>
  <si>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</si>
  <si>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</si>
  <si>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</si>
  <si>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</si>
  <si>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</si>
  <si>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</si>
  <si>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</si>
  <si>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</si>
  <si>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</si>
  <si>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</si>
  <si>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</si>
  <si>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</si>
  <si>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</si>
  <si>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</si>
  <si>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</si>
  <si>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</si>
  <si>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</si>
  <si>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</si>
  <si>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</si>
  <si>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</si>
  <si>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</si>
  <si>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</si>
  <si>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</si>
  <si>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</si>
  <si>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</si>
  <si>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</si>
  <si>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</si>
  <si>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</si>
  <si>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</si>
  <si>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</si>
  <si>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</si>
  <si>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</si>
  <si>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</si>
  <si>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</si>
  <si>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</si>
  <si>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</si>
  <si>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</si>
  <si>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</si>
  <si>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</si>
  <si>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</si>
  <si>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</si>
  <si>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</si>
  <si>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</si>
  <si>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</si>
  <si>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</si>
  <si>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</si>
  <si>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</si>
  <si>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</si>
  <si>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</si>
  <si>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</si>
  <si>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</si>
  <si>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</si>
  <si>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</si>
  <si>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</si>
  <si>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</si>
  <si>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</si>
  <si>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</si>
  <si>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</si>
  <si>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</si>
  <si>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</si>
  <si>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</si>
  <si>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</si>
  <si>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</si>
  <si>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</si>
  <si>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</si>
  <si>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</si>
  <si>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</si>
  <si>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</si>
  <si>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</si>
  <si>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</si>
  <si>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</si>
  <si>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</si>
  <si>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</si>
  <si>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</si>
  <si>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</si>
  <si>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</si>
  <si>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</si>
  <si>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</si>
  <si>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</si>
  <si>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</si>
  <si>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</si>
  <si>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</si>
  <si>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</si>
  <si>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</si>
  <si>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</si>
  <si>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</si>
  <si>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</si>
  <si>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</si>
  <si>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</si>
  <si>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</si>
  <si>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</si>
  <si>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</si>
  <si>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</si>
  <si>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</si>
  <si>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</si>
  <si>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</si>
  <si>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</si>
  <si>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</si>
  <si>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</si>
  <si>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</si>
  <si>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</si>
  <si>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</si>
  <si>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</si>
  <si>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</si>
  <si>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</si>
  <si>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</si>
  <si>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</si>
  <si>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</si>
  <si>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</si>
  <si>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</si>
  <si>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</si>
  <si>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</si>
  <si>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</si>
  <si>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</si>
  <si>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</si>
  <si>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</si>
  <si>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</si>
  <si>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</si>
  <si>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</si>
  <si>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</si>
  <si>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</si>
  <si>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</si>
  <si>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</si>
  <si>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</si>
  <si>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</si>
  <si>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</si>
  <si>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</si>
  <si>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</si>
  <si>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</si>
  <si>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</si>
  <si>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</si>
  <si>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</si>
  <si>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</si>
  <si>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</si>
  <si>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</si>
  <si>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</si>
  <si>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</si>
  <si>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</si>
  <si>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</si>
  <si>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</si>
  <si>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</si>
  <si>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</si>
  <si>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</si>
  <si>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</si>
  <si>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</si>
  <si>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</si>
  <si>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</si>
  <si>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</si>
  <si>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</si>
  <si>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</si>
  <si>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</si>
  <si>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</si>
  <si>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</si>
  <si>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</si>
  <si>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</si>
  <si>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</si>
  <si>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</si>
  <si>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</si>
  <si>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</si>
  <si>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</si>
  <si>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</si>
  <si>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</si>
  <si>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</si>
  <si>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</si>
  <si>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</si>
  <si>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</si>
  <si>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</si>
  <si>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</si>
  <si>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</si>
  <si>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</si>
  <si>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</si>
  <si>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</si>
  <si>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</si>
  <si>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</si>
  <si>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</si>
  <si>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</si>
  <si>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</si>
  <si>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</si>
  <si>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</si>
  <si>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</si>
  <si>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</si>
  <si>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</si>
  <si>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</si>
  <si>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</si>
  <si>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</si>
  <si>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</si>
  <si>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</si>
  <si>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</si>
  <si>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</si>
  <si>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</si>
  <si>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</si>
  <si>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</si>
  <si>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</si>
  <si>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</si>
  <si>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</si>
  <si>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</si>
  <si>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</si>
  <si>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</si>
  <si>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</si>
  <si>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</si>
  <si>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</si>
  <si>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</si>
  <si>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</si>
  <si>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</si>
  <si>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</si>
  <si>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</si>
  <si>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</si>
  <si>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</si>
  <si>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</si>
  <si>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</si>
  <si>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</si>
  <si>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</si>
  <si>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</si>
  <si>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</si>
  <si>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</si>
  <si>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</si>
  <si>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</si>
  <si>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</si>
  <si>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</si>
  <si>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</si>
  <si>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</si>
  <si>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</si>
  <si>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</si>
  <si>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</si>
  <si>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</si>
  <si>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</si>
  <si>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</si>
  <si>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</si>
  <si>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</si>
  <si>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</si>
  <si>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</si>
  <si>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</si>
  <si>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</si>
  <si>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</si>
  <si>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</si>
  <si>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</si>
  <si>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</si>
  <si>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</si>
  <si>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</si>
  <si>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</si>
  <si>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</si>
  <si>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</si>
  <si>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</si>
  <si>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</si>
  <si>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</si>
  <si>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</si>
  <si>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</si>
  <si>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</si>
  <si>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</si>
  <si>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</si>
  <si>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</si>
  <si>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</si>
  <si>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</si>
  <si>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</si>
  <si>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</si>
  <si>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</si>
  <si>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</si>
  <si>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</si>
  <si>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</si>
  <si>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</si>
  <si>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</si>
  <si>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</si>
  <si>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</si>
  <si>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</si>
  <si>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</si>
  <si>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</si>
  <si>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</si>
  <si>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</si>
  <si>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</si>
  <si>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</si>
  <si>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</si>
  <si>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</si>
  <si>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</si>
  <si>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</si>
  <si>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</si>
  <si>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</si>
  <si>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</si>
  <si>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</si>
  <si>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</si>
  <si>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</si>
  <si>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</si>
  <si>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</si>
  <si>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</si>
  <si>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</si>
  <si>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</si>
  <si>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</si>
  <si>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</si>
  <si>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</si>
  <si>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</si>
  <si>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</si>
  <si>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</si>
  <si>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</si>
  <si>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</si>
  <si>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</si>
  <si>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</si>
  <si>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</si>
  <si>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</si>
  <si>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</si>
  <si>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</si>
  <si>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</si>
  <si>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</si>
  <si>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</si>
  <si>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</si>
  <si>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</si>
  <si>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</si>
  <si>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</si>
  <si>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</si>
  <si>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</si>
  <si>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</si>
  <si>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</si>
  <si>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</si>
  <si>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</si>
  <si>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</si>
  <si>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</si>
  <si>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</si>
  <si>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</si>
  <si>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</si>
  <si>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</si>
  <si>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</si>
  <si>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</si>
  <si>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</si>
  <si>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</si>
  <si>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</si>
  <si>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</si>
  <si>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</si>
  <si>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</si>
  <si>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</si>
  <si>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</si>
  <si>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</si>
  <si>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</si>
  <si>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</si>
  <si>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</si>
  <si>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</si>
  <si>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</si>
  <si>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</si>
  <si>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</si>
  <si>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</si>
  <si>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</si>
  <si>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</si>
  <si>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</si>
  <si>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</si>
  <si>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</si>
  <si>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</si>
  <si>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</si>
  <si>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</si>
  <si>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</si>
  <si>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</si>
  <si>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</si>
  <si>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</si>
  <si>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</si>
  <si>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</si>
  <si>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</si>
  <si>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</si>
  <si>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</si>
  <si>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</si>
  <si>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</si>
  <si>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</si>
  <si>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</si>
  <si>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</si>
  <si>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</si>
  <si>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</si>
  <si>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</si>
  <si>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</si>
  <si>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</si>
  <si>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</si>
  <si>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</si>
  <si>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</si>
  <si>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</si>
  <si>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</si>
  <si>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</si>
  <si>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</si>
  <si>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</si>
  <si>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</si>
  <si>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</si>
  <si>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</si>
  <si>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</si>
  <si>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</si>
  <si>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</si>
  <si>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</si>
  <si>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</si>
  <si>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</si>
  <si>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</si>
  <si>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</si>
  <si>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</si>
  <si>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</si>
  <si>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</si>
  <si>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</si>
  <si>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</si>
  <si>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</si>
  <si>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</si>
  <si>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</si>
  <si>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</si>
  <si>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</si>
  <si>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</si>
  <si>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</si>
  <si>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</si>
  <si>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</si>
  <si>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</si>
  <si>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</si>
  <si>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</si>
  <si>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</si>
  <si>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</si>
  <si>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</si>
  <si>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</si>
  <si>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</si>
  <si>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</si>
  <si>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</si>
  <si>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</si>
  <si>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</si>
  <si>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</si>
  <si>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</si>
  <si>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</si>
  <si>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</si>
  <si>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</si>
  <si>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</si>
  <si>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</si>
  <si>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</si>
  <si>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</si>
  <si>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</si>
  <si>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</si>
  <si>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</si>
  <si>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</si>
  <si>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</si>
  <si>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</si>
  <si>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</si>
  <si>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</si>
  <si>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</si>
  <si>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</si>
  <si>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</si>
  <si>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</si>
  <si>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</si>
  <si>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</si>
  <si>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</si>
  <si>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</si>
  <si>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</si>
  <si>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</si>
  <si>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</si>
  <si>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</si>
  <si>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</si>
  <si>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</si>
  <si>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</si>
  <si>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</si>
  <si>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</si>
  <si>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</si>
  <si>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</si>
  <si>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</si>
  <si>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</si>
  <si>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</si>
  <si>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</si>
  <si>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</si>
  <si>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</si>
  <si>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</si>
  <si>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</si>
  <si>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</si>
  <si>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</si>
  <si>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</si>
  <si>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</si>
  <si>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</si>
  <si>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</si>
  <si>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</si>
  <si>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</si>
  <si>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</si>
  <si>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</si>
  <si>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</si>
  <si>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</si>
  <si>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</si>
  <si>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</si>
  <si>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</si>
  <si>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</si>
  <si>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</si>
  <si>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</si>
  <si>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</si>
  <si>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</si>
  <si>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</si>
  <si>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</si>
  <si>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</si>
  <si>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</si>
  <si>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</si>
  <si>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</si>
  <si>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</si>
  <si>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</si>
  <si>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</si>
  <si>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</si>
  <si>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</si>
  <si>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</si>
  <si>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</si>
  <si>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</si>
  <si>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</si>
  <si>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</si>
  <si>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</si>
  <si>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</si>
  <si>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</si>
  <si>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</si>
  <si>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</si>
  <si>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</si>
  <si>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</si>
  <si>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</si>
  <si>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</si>
  <si>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</si>
  <si>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</si>
  <si>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</si>
  <si>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</si>
  <si>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</si>
  <si>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</si>
  <si>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</si>
  <si>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</si>
  <si>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</si>
  <si>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</si>
  <si>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</si>
  <si>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</si>
  <si>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</si>
  <si>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</si>
  <si>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</si>
  <si>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</si>
  <si>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</si>
  <si>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</si>
  <si>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</si>
  <si>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</si>
  <si>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</si>
  <si>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</si>
  <si>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</si>
  <si>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</si>
  <si>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</si>
  <si>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</si>
  <si>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</si>
  <si>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</si>
  <si>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</si>
  <si>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</si>
  <si>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</si>
  <si>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</si>
  <si>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</si>
  <si>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</si>
  <si>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</si>
  <si>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</si>
  <si>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</si>
  <si>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</si>
  <si>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</si>
  <si>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</si>
  <si>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</si>
  <si>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</si>
  <si>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</si>
  <si>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</si>
  <si>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</si>
  <si>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</si>
  <si>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</si>
  <si>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</si>
  <si>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</si>
  <si>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</si>
  <si>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</si>
  <si>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</si>
  <si>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</si>
  <si>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</si>
  <si>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</si>
  <si>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</si>
  <si>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</si>
  <si>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</si>
  <si>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</si>
  <si>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</si>
  <si>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</si>
  <si>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</si>
  <si>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</si>
  <si>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</si>
  <si>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</si>
  <si>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</si>
  <si>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</si>
  <si>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</si>
  <si>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</si>
  <si>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</si>
  <si>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</si>
  <si>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</si>
  <si>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</si>
  <si>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</si>
  <si>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</si>
  <si>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</si>
  <si>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</si>
  <si>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</si>
  <si>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</si>
  <si>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</si>
  <si>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</si>
  <si>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</si>
  <si>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</si>
  <si>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</si>
  <si>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</si>
  <si>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</si>
  <si>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</si>
  <si>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</si>
  <si>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</si>
  <si>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</si>
  <si>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</si>
  <si>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</si>
  <si>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</si>
  <si>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</si>
  <si>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</si>
  <si>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</si>
  <si>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</si>
  <si>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</si>
  <si>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</si>
  <si>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</si>
  <si>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</si>
  <si>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</si>
  <si>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</si>
  <si>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</si>
  <si>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</si>
  <si>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</si>
  <si>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</si>
  <si>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</si>
  <si>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</si>
  <si>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</si>
  <si>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</si>
  <si>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</si>
  <si>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</si>
  <si>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</si>
  <si>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</si>
  <si>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</si>
  <si>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</si>
  <si>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</si>
  <si>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</si>
  <si>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</si>
  <si>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</si>
  <si>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</si>
  <si>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</si>
  <si>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</si>
  <si>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</si>
  <si>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</si>
  <si>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</si>
  <si>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</si>
  <si>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</si>
  <si>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</si>
  <si>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</si>
  <si>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</si>
  <si>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</si>
  <si>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</si>
  <si>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</si>
  <si>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</si>
  <si>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</si>
  <si>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</si>
  <si>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</si>
  <si>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</si>
  <si>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</si>
  <si>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</si>
  <si>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</si>
  <si>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</si>
  <si>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</si>
  <si>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</si>
  <si>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</si>
  <si>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</si>
  <si>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</si>
  <si>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</si>
  <si>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</si>
  <si>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</si>
  <si>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</si>
  <si>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</si>
  <si>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</si>
  <si>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</si>
  <si>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</si>
  <si>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</si>
  <si>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</si>
  <si>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</si>
  <si>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</si>
  <si>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</si>
  <si>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</si>
  <si>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</si>
  <si>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</si>
  <si>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</si>
  <si>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</si>
  <si>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</si>
  <si>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</si>
  <si>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</si>
  <si>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</si>
  <si>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</si>
  <si>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</si>
  <si>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</si>
  <si>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</si>
  <si>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</si>
  <si>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</si>
  <si>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</si>
  <si>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</si>
  <si>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</si>
  <si>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</si>
  <si>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</si>
  <si>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</si>
  <si>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</si>
  <si>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</si>
  <si>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</si>
  <si>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</si>
  <si>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</si>
  <si>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</si>
  <si>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</si>
  <si>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</si>
  <si>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</si>
  <si>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</si>
  <si>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</si>
  <si>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</si>
  <si>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</si>
  <si>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</si>
  <si>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</si>
  <si>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</si>
  <si>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</si>
  <si>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</si>
  <si>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</si>
  <si>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</si>
  <si>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</si>
  <si>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</si>
  <si>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</si>
  <si>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</si>
  <si>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</si>
  <si>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</si>
  <si>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</si>
  <si>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</si>
  <si>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</si>
  <si>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</si>
  <si>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</si>
  <si>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</si>
  <si>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</si>
  <si>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</si>
  <si>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</si>
  <si>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</si>
  <si>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</si>
  <si>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</si>
  <si>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</si>
  <si>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</si>
  <si>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</si>
  <si>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</si>
  <si>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</si>
  <si>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</si>
  <si>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</si>
  <si>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</si>
  <si>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</si>
  <si>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</si>
  <si>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</si>
  <si>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</si>
  <si>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</si>
  <si>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</si>
  <si>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</si>
  <si>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</si>
  <si>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</si>
  <si>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</si>
  <si>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</si>
  <si>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</si>
  <si>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</si>
  <si>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</si>
  <si>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</si>
  <si>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</si>
  <si>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</si>
  <si>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</si>
  <si>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</si>
  <si>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</si>
  <si>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</si>
  <si>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</si>
  <si>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</si>
  <si>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</si>
  <si>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</si>
  <si>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</si>
  <si>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</si>
  <si>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</si>
  <si>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</si>
  <si>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</si>
  <si>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</si>
  <si>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</si>
  <si>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</si>
  <si>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</si>
  <si>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</si>
  <si>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</si>
  <si>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</si>
  <si>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</si>
  <si>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</si>
  <si>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</si>
  <si>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</si>
  <si>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</si>
  <si>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</si>
  <si>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</si>
  <si>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</si>
  <si>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</si>
  <si>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</si>
  <si>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</si>
  <si>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</si>
  <si>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</si>
  <si>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</si>
  <si>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</si>
  <si>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</si>
  <si>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</si>
  <si>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</si>
  <si>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</si>
  <si>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</si>
  <si>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</si>
  <si>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</si>
  <si>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</si>
  <si>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</si>
  <si>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</si>
  <si>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</si>
  <si>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</si>
  <si>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</si>
  <si>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</si>
  <si>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</si>
  <si>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</si>
  <si>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</si>
  <si>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</si>
  <si>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</si>
  <si>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</si>
  <si>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</si>
  <si>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</si>
  <si>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</si>
  <si>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</si>
  <si>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</si>
  <si>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</si>
  <si>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</si>
  <si>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</si>
  <si>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</si>
  <si>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</si>
  <si>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</si>
  <si>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</si>
  <si>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</si>
  <si>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</si>
  <si>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</si>
  <si>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</si>
  <si>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</si>
  <si>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</si>
  <si>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</si>
  <si>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</si>
  <si>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</si>
  <si>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</si>
  <si>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</si>
  <si>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</si>
  <si>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</si>
  <si>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</si>
  <si>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</si>
  <si>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</si>
  <si>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</si>
  <si>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</si>
  <si>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</si>
  <si>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</si>
  <si>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</si>
  <si>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</si>
  <si>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</si>
  <si>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</si>
  <si>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</si>
  <si>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</si>
  <si>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</si>
  <si>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</si>
  <si>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</si>
  <si>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</si>
  <si>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</si>
  <si>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</si>
  <si>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</si>
  <si>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</si>
  <si>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</si>
  <si>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</si>
  <si>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</si>
  <si>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</si>
  <si>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</si>
  <si>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</si>
  <si>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</si>
  <si>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</si>
  <si>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</si>
  <si>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</si>
  <si>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</si>
  <si>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</si>
  <si>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</si>
  <si>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</si>
  <si>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</si>
  <si>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</si>
  <si>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</si>
  <si>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</si>
  <si>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</si>
  <si>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</si>
  <si>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</si>
  <si>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</si>
  <si>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</si>
  <si>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</si>
  <si>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</si>
  <si>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</si>
  <si>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</si>
  <si>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</si>
  <si>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</si>
  <si>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</si>
  <si>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</si>
  <si>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</si>
  <si>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</si>
  <si>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</si>
  <si>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</si>
  <si>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</si>
  <si>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</si>
  <si>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</si>
  <si>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</si>
  <si>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</si>
  <si>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</si>
  <si>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</si>
  <si>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</si>
  <si>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</si>
  <si>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</si>
  <si>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</si>
  <si>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</si>
  <si>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</si>
  <si>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</si>
  <si>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</si>
  <si>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</si>
  <si>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</si>
  <si>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</si>
  <si>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</si>
  <si>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</si>
  <si>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</si>
  <si>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</si>
  <si>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</si>
  <si>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</si>
  <si>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</si>
  <si>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</si>
  <si>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</si>
  <si>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</si>
  <si>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</si>
  <si>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</si>
  <si>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</si>
  <si>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</si>
  <si>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</si>
  <si>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</si>
  <si>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</si>
  <si>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</si>
  <si>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</si>
  <si>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</si>
  <si>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</si>
  <si>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</si>
  <si>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</si>
  <si>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</si>
  <si>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</si>
  <si>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</si>
  <si>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</si>
  <si>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</si>
  <si>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</si>
  <si>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</si>
  <si>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</si>
  <si>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</si>
  <si>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</si>
  <si>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</si>
  <si>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</si>
  <si>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</si>
  <si>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</si>
  <si>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</si>
  <si>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</si>
  <si>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</si>
  <si>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</si>
  <si>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</si>
  <si>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</si>
  <si>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</si>
  <si>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</si>
  <si>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</si>
  <si>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</si>
  <si>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</si>
  <si>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</si>
  <si>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</si>
  <si>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</si>
  <si>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</si>
  <si>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</si>
  <si>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</si>
  <si>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</si>
  <si>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</si>
  <si>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</si>
  <si>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</si>
  <si>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</si>
  <si>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</si>
  <si>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</si>
  <si>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</si>
  <si>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</si>
  <si>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</si>
  <si>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</si>
  <si>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</si>
  <si>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</si>
  <si>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</si>
  <si>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</si>
  <si>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</si>
  <si>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</si>
  <si>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</si>
  <si>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</si>
  <si>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</si>
  <si>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</si>
  <si>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</si>
  <si>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</si>
  <si>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</si>
  <si>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</si>
  <si>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</si>
  <si>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</si>
  <si>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</si>
  <si>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</si>
  <si>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</si>
  <si>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</si>
  <si>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</si>
  <si>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</si>
  <si>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</si>
  <si>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</si>
  <si>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</si>
  <si>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</si>
  <si>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</si>
  <si>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</si>
  <si>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</si>
  <si>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</si>
  <si>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</si>
  <si>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</si>
  <si>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</si>
  <si>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</si>
  <si>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</si>
  <si>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</si>
  <si>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</si>
  <si>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</si>
  <si>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</si>
  <si>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</si>
  <si>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</si>
  <si>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</si>
  <si>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</si>
  <si>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</si>
  <si>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</si>
  <si>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</si>
  <si>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</si>
  <si>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</si>
  <si>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</si>
  <si>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</si>
  <si>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</si>
  <si>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</si>
  <si>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</si>
  <si>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</si>
  <si>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</si>
  <si>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</si>
  <si>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</si>
  <si>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</si>
  <si>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</si>
  <si>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</si>
  <si>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</si>
  <si>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</si>
  <si>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</si>
  <si>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</si>
  <si>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</si>
  <si>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</si>
  <si>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</si>
  <si>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</si>
  <si>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</si>
  <si>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</si>
  <si>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</si>
  <si>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</si>
  <si>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</si>
  <si>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</si>
  <si>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</si>
  <si>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</si>
  <si>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</si>
  <si>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</si>
  <si>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</si>
  <si>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</si>
  <si>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</si>
  <si>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</si>
  <si>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</si>
  <si>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</si>
  <si>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</si>
  <si>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</si>
  <si>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</si>
  <si>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</si>
  <si>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</si>
  <si>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</si>
  <si>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</si>
  <si>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</si>
  <si>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</si>
  <si>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</si>
  <si>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</si>
  <si>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</si>
  <si>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</si>
  <si>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</si>
  <si>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</si>
  <si>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</si>
  <si>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</si>
  <si>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</si>
  <si>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</si>
  <si>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</si>
  <si>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</si>
  <si>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</si>
  <si>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</si>
  <si>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</si>
  <si>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</si>
  <si>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</si>
  <si>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</si>
  <si>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</si>
  <si>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</si>
  <si>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</si>
  <si>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</si>
  <si>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</si>
  <si>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</si>
  <si>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</si>
  <si>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</si>
  <si>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</si>
  <si>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</si>
  <si>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</si>
  <si>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</si>
  <si>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</si>
  <si>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</si>
  <si>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</si>
  <si>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</si>
  <si>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</si>
  <si>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</si>
  <si>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</si>
  <si>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</si>
  <si>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</si>
  <si>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</si>
  <si>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</si>
  <si>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</si>
  <si>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</si>
  <si>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</si>
  <si>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</si>
  <si>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</si>
  <si>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</si>
  <si>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</si>
  <si>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</si>
  <si>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</si>
  <si>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</si>
  <si>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</si>
  <si>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</si>
  <si>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</si>
  <si>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</si>
  <si>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</si>
  <si>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</si>
  <si>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</si>
  <si>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</si>
  <si>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</si>
  <si>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</si>
  <si>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</si>
  <si>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</si>
  <si>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</si>
  <si>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</si>
  <si>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</si>
  <si>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</si>
  <si>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</si>
  <si>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</si>
  <si>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</si>
  <si>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</si>
  <si>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</si>
  <si>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</si>
  <si>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</si>
  <si>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</si>
  <si>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</si>
  <si>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</si>
  <si>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</si>
  <si>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</si>
  <si>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</si>
  <si>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</si>
  <si>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</si>
  <si>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</si>
  <si>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</si>
  <si>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</si>
  <si>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</si>
  <si>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</si>
  <si>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</si>
  <si>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</si>
  <si>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</si>
  <si>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</si>
  <si>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</si>
  <si>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</si>
  <si>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</si>
  <si>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</si>
  <si>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</si>
  <si>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</si>
  <si>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</si>
  <si>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</si>
  <si>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</si>
  <si>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</si>
  <si>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</si>
  <si>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</si>
  <si>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</si>
  <si>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</si>
  <si>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</si>
  <si>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</si>
  <si>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</si>
  <si>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</si>
  <si>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</si>
  <si>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</si>
  <si>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</si>
  <si>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</si>
  <si>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</si>
  <si>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</si>
  <si>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</si>
  <si>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</si>
  <si>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</si>
  <si>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</si>
  <si>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</si>
  <si>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</si>
  <si>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</si>
  <si>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</si>
  <si>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</si>
  <si>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</si>
  <si>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</si>
  <si>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</si>
  <si>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</si>
  <si>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</si>
  <si>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</si>
  <si>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</si>
  <si>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</si>
  <si>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</si>
  <si>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</si>
  <si>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</si>
  <si>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</si>
  <si>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</si>
  <si>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</si>
  <si>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</si>
  <si>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</si>
  <si>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</si>
  <si>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</si>
  <si>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</si>
  <si>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</si>
  <si>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</si>
  <si>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</si>
  <si>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</si>
  <si>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</si>
  <si>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</si>
  <si>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</si>
  <si>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</si>
  <si>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</si>
  <si>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</si>
  <si>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</si>
  <si>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</si>
  <si>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</si>
  <si>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</si>
  <si>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</si>
  <si>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</si>
  <si>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</si>
  <si>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</si>
  <si>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</si>
  <si>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</si>
  <si>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</si>
  <si>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</si>
  <si>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</si>
  <si>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</si>
  <si>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</si>
  <si>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</si>
  <si>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</si>
  <si>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</si>
  <si>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</si>
  <si>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</si>
  <si>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</si>
  <si>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</si>
  <si>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</si>
  <si>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</si>
  <si>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</si>
  <si>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</si>
  <si>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</si>
  <si>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</si>
  <si>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</si>
  <si>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</si>
  <si>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</si>
  <si>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</si>
  <si>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</si>
  <si>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</si>
  <si>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</si>
  <si>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</si>
  <si>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</si>
  <si>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</si>
  <si>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</si>
  <si>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</si>
  <si>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</si>
  <si>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</si>
  <si>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</si>
  <si>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</si>
  <si>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</si>
  <si>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</si>
  <si>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</si>
  <si>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</si>
  <si>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</si>
  <si>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</si>
  <si>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</si>
  <si>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</si>
  <si>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</si>
  <si>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</si>
  <si>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</si>
  <si>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</si>
  <si>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</si>
  <si>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</si>
  <si>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</si>
  <si>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</si>
  <si>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</si>
  <si>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</si>
  <si>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</si>
  <si>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</si>
  <si>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</si>
  <si>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</si>
  <si>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</si>
  <si>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</si>
  <si>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</si>
  <si>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</si>
  <si>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</si>
  <si>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</si>
  <si>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</si>
  <si>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</si>
  <si>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</si>
  <si>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</si>
  <si>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</si>
  <si>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</si>
  <si>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</si>
  <si>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</si>
  <si>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</si>
  <si>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</si>
  <si>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</si>
  <si>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</si>
  <si>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</si>
  <si>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</si>
  <si>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</si>
  <si>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</si>
  <si>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</si>
  <si>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</si>
  <si>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</si>
  <si>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</si>
  <si>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</si>
  <si>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</si>
  <si>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</si>
  <si>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</si>
  <si>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</si>
  <si>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</si>
  <si>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</si>
  <si>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</si>
  <si>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</si>
  <si>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</si>
  <si>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</si>
  <si>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</si>
  <si>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</si>
  <si>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</si>
  <si>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</si>
  <si>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</si>
  <si>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</si>
  <si>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</si>
  <si>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</si>
  <si>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</si>
  <si>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</si>
  <si>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</si>
  <si>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</si>
  <si>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</si>
  <si>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</si>
  <si>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</si>
  <si>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</si>
  <si>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</si>
  <si>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</si>
  <si>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</si>
  <si>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</si>
  <si>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</si>
  <si>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</si>
  <si>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</si>
  <si>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</si>
  <si>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</si>
  <si>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</si>
  <si>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</si>
  <si>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</si>
  <si>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</si>
  <si>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</si>
  <si>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</si>
  <si>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</si>
  <si>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</si>
  <si>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</si>
  <si>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</si>
  <si>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</si>
  <si>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</si>
  <si>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</si>
  <si>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</si>
  <si>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</si>
  <si>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</si>
  <si>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</si>
  <si>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</si>
  <si>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</si>
  <si>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</si>
  <si>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</si>
  <si>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</si>
  <si>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</si>
  <si>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</si>
  <si>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</si>
  <si>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</si>
  <si>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</si>
  <si>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</si>
  <si>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</si>
  <si>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</si>
  <si>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</si>
  <si>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</si>
  <si>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</si>
  <si>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</si>
  <si>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</si>
  <si>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</si>
  <si>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</si>
  <si>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</si>
  <si>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</si>
  <si>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</si>
  <si>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</si>
  <si>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</si>
  <si>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</si>
  <si>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</si>
  <si>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</si>
  <si>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</si>
  <si>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</si>
  <si>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</si>
  <si>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</si>
  <si>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</si>
  <si>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</si>
  <si>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</si>
  <si>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</si>
  <si>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</si>
  <si>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</si>
  <si>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</si>
  <si>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</si>
  <si>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</si>
  <si>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</si>
  <si>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</si>
  <si>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</si>
  <si>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</si>
  <si>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</si>
  <si>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</si>
  <si>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</si>
  <si>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</si>
  <si>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</si>
  <si>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</si>
  <si>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</si>
  <si>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</si>
  <si>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</si>
  <si>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</si>
  <si>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</si>
  <si>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</si>
  <si>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</si>
  <si>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</si>
  <si>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</si>
  <si>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</si>
  <si>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</si>
  <si>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</si>
  <si>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</si>
  <si>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</si>
  <si>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</si>
  <si>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</si>
  <si>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</si>
  <si>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</si>
  <si>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</si>
  <si>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</si>
  <si>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</si>
  <si>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</si>
  <si>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</si>
  <si>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</si>
  <si>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</si>
  <si>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</si>
  <si>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</si>
  <si>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</si>
  <si>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</si>
  <si>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</si>
  <si>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</si>
  <si>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</si>
  <si>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</si>
  <si>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</si>
  <si>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</si>
  <si>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</si>
  <si>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</si>
  <si>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</si>
  <si>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</si>
  <si>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</si>
  <si>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</si>
  <si>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</si>
  <si>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</si>
  <si>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</si>
  <si>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</si>
  <si>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</si>
  <si>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</si>
  <si>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</si>
  <si>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</si>
  <si>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</si>
  <si>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</si>
  <si>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</si>
  <si>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</si>
  <si>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</si>
  <si>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</si>
  <si>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</si>
  <si>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</si>
  <si>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</si>
  <si>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</si>
  <si>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</si>
  <si>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</si>
  <si>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</si>
  <si>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</si>
  <si>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</si>
  <si>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</si>
  <si>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</si>
  <si>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</si>
  <si>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</si>
  <si>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</si>
  <si>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</si>
  <si>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</si>
  <si>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</si>
  <si>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</si>
  <si>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</si>
  <si>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</si>
  <si>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</si>
  <si>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</si>
  <si>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</si>
  <si>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</si>
  <si>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</si>
  <si>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</si>
  <si>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</si>
  <si>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</si>
  <si>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</si>
  <si>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</si>
  <si>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</si>
  <si>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</si>
  <si>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</si>
  <si>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</si>
  <si>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</si>
  <si>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</si>
  <si>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</si>
  <si>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</si>
  <si>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</si>
  <si>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</si>
  <si>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</si>
  <si>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</si>
  <si>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</si>
  <si>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</si>
  <si>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</si>
  <si>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</si>
  <si>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</si>
  <si>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</si>
  <si>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</si>
  <si>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</si>
  <si>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</si>
  <si>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</si>
  <si>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</si>
  <si>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</si>
  <si>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</si>
  <si>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</si>
  <si>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</si>
  <si>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</si>
  <si>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</si>
  <si>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</si>
  <si>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</si>
  <si>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</si>
  <si>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</si>
  <si>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</si>
  <si>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</si>
  <si>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</si>
  <si>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</si>
  <si>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</si>
  <si>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</si>
  <si>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</si>
  <si>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</si>
  <si>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</si>
  <si>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</si>
  <si>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</si>
  <si>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</si>
  <si>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</si>
  <si>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</si>
  <si>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</si>
  <si>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</si>
  <si>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</si>
  <si>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</si>
  <si>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</si>
  <si>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</si>
  <si>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</si>
  <si>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</si>
  <si>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</si>
  <si>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</si>
  <si>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</si>
  <si>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</si>
  <si>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</si>
  <si>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</si>
  <si>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</si>
  <si>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</si>
  <si>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</si>
  <si>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</si>
  <si>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</si>
  <si>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</si>
  <si>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</si>
  <si>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</si>
  <si>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</si>
  <si>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</si>
  <si>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</si>
  <si>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</si>
  <si>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</si>
  <si>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</si>
  <si>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</si>
  <si>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</si>
  <si>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</si>
  <si>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</si>
  <si>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</si>
  <si>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</si>
  <si>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</si>
  <si>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</si>
  <si>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</si>
  <si>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</si>
  <si>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</si>
  <si>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</si>
  <si>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</si>
  <si>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</si>
  <si>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</si>
  <si>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</si>
  <si>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</si>
  <si>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</si>
  <si>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</si>
  <si>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</si>
  <si>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</si>
  <si>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</si>
  <si>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</si>
  <si>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</si>
  <si>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</si>
  <si>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</si>
  <si>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</si>
  <si>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</si>
  <si>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</si>
  <si>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</si>
  <si>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</si>
  <si>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</si>
  <si>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</si>
  <si>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</si>
  <si>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</si>
  <si>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</si>
  <si>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</si>
  <si>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</si>
  <si>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</si>
  <si>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</si>
  <si>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</si>
  <si>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</si>
  <si>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</si>
  <si>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</si>
  <si>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</si>
  <si>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</si>
  <si>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</si>
  <si>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</si>
  <si>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</si>
  <si>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</si>
  <si>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</si>
  <si>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</si>
  <si>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</si>
  <si>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</si>
  <si>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</si>
  <si>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</si>
  <si>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</si>
  <si>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</si>
  <si>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</si>
  <si>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</si>
  <si>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</si>
  <si>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</si>
  <si>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</si>
  <si>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</si>
  <si>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</si>
  <si>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</si>
  <si>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</si>
  <si>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</si>
  <si>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</si>
  <si>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</si>
  <si>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</si>
  <si>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</si>
  <si>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</si>
  <si>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</si>
  <si>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</si>
  <si>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</si>
  <si>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</si>
  <si>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</si>
  <si>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</si>
  <si>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</si>
  <si>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</si>
  <si>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</si>
  <si>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</si>
  <si>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</si>
  <si>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</si>
  <si>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</si>
  <si>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</si>
  <si>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</si>
  <si>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</si>
  <si>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</si>
  <si>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</si>
  <si>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</si>
  <si>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</si>
  <si>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</si>
  <si>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</si>
  <si>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</si>
  <si>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</si>
  <si>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</si>
  <si>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</si>
  <si>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</si>
  <si>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</si>
  <si>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</si>
  <si>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</si>
  <si>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</si>
  <si>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</si>
  <si>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</si>
  <si>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</si>
  <si>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</si>
  <si>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</si>
  <si>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</si>
  <si>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</si>
  <si>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</si>
  <si>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</si>
  <si>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</si>
  <si>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</si>
  <si>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</si>
  <si>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</si>
  <si>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</si>
  <si>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</si>
  <si>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</si>
  <si>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</si>
  <si>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</si>
  <si>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</si>
  <si>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</si>
  <si>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</si>
  <si>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</si>
  <si>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</si>
  <si>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</si>
  <si>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</si>
  <si>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</si>
  <si>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</si>
  <si>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</si>
  <si>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</si>
  <si>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</si>
  <si>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</si>
  <si>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</si>
  <si>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</si>
  <si>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</si>
  <si>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</si>
  <si>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</si>
  <si>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</si>
  <si>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</si>
  <si>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</si>
  <si>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</si>
  <si>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</si>
  <si>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</si>
  <si>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</si>
  <si>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</si>
  <si>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</si>
  <si>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</si>
  <si>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</si>
  <si>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</si>
  <si>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</si>
  <si>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</si>
  <si>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</si>
  <si>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</si>
  <si>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</si>
  <si>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</si>
  <si>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</si>
  <si>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</si>
  <si>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</si>
  <si>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</si>
  <si>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</si>
  <si>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</si>
  <si>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</si>
  <si>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</si>
  <si>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</si>
  <si>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</si>
  <si>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</si>
  <si>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</si>
  <si>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</si>
  <si>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</si>
  <si>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</si>
  <si>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</si>
  <si>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</si>
  <si>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</si>
  <si>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</si>
  <si>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</si>
  <si>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</si>
  <si>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</si>
  <si>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</si>
  <si>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</si>
  <si>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</si>
  <si>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</si>
  <si>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</si>
  <si>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</si>
  <si>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</si>
  <si>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</si>
  <si>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</si>
  <si>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</si>
  <si>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</si>
  <si>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</si>
  <si>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</si>
  <si>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</si>
  <si>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</si>
  <si>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</si>
  <si>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</si>
  <si>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</si>
  <si>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</si>
  <si>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</si>
  <si>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</si>
  <si>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</si>
  <si>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</si>
  <si>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</si>
  <si>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</si>
  <si>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</si>
  <si>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</si>
  <si>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</si>
  <si>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</si>
  <si>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</si>
  <si>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</si>
  <si>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</si>
  <si>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</si>
  <si>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</si>
  <si>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</si>
  <si>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</si>
  <si>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</si>
  <si>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</si>
  <si>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</si>
  <si>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</si>
  <si>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</si>
  <si>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</si>
  <si>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</si>
  <si>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</si>
  <si>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</si>
  <si>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</si>
  <si>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</si>
  <si>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</si>
  <si>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</si>
  <si>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</si>
  <si>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</si>
  <si>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</si>
  <si>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</si>
  <si>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</si>
  <si>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</si>
  <si>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</si>
  <si>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</si>
  <si>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</si>
  <si>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</si>
  <si>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</si>
  <si>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</si>
  <si>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</si>
  <si>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</si>
  <si>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</si>
  <si>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</si>
  <si>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</si>
  <si>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</si>
  <si>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</si>
  <si>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</si>
  <si>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</si>
  <si>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</si>
  <si>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</si>
  <si>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</si>
  <si>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</si>
  <si>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</si>
  <si>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</si>
  <si>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</si>
  <si>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</si>
  <si>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</si>
  <si>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</si>
  <si>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</si>
  <si>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</si>
  <si>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</si>
  <si>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</si>
  <si>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</si>
  <si>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</si>
  <si>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</si>
  <si>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</si>
  <si>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</si>
  <si>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</si>
  <si>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</si>
  <si>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</si>
  <si>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</si>
  <si>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</si>
  <si>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</si>
  <si>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</si>
  <si>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</si>
  <si>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</si>
  <si>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</si>
  <si>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</si>
  <si>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</si>
  <si>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</si>
  <si>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</si>
  <si>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</si>
  <si>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</si>
  <si>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</si>
  <si>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</si>
  <si>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</si>
  <si>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</si>
  <si>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</si>
  <si>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</si>
  <si>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</si>
  <si>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</si>
  <si>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</si>
  <si>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</si>
  <si>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</si>
  <si>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</si>
  <si>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</si>
  <si>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</si>
  <si>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</si>
  <si>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</si>
  <si>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</si>
  <si>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</si>
  <si>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</si>
  <si>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</si>
  <si>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</si>
  <si>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</si>
  <si>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</si>
  <si>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</si>
  <si>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</si>
  <si>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</si>
  <si>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</si>
  <si>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</si>
  <si>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</si>
  <si>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</si>
  <si>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</si>
  <si>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</si>
  <si>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</si>
  <si>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</si>
  <si>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</si>
  <si>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</si>
  <si>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</si>
  <si>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</si>
  <si>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</si>
  <si>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</si>
  <si>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</si>
  <si>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</si>
  <si>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</si>
  <si>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</si>
  <si>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</si>
  <si>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</si>
  <si>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</si>
  <si>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</si>
  <si>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</si>
  <si>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</si>
  <si>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</si>
  <si>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</si>
  <si>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</si>
  <si>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</si>
  <si>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</si>
  <si>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</si>
  <si>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</si>
  <si>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</si>
  <si>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</si>
  <si>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</si>
  <si>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</si>
  <si>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</si>
  <si>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</si>
  <si>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</si>
  <si>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</si>
  <si>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</si>
  <si>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</si>
  <si>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</si>
  <si>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</si>
  <si>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</si>
  <si>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</si>
  <si>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</si>
  <si>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</si>
  <si>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</si>
  <si>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</si>
  <si>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</si>
  <si>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</si>
  <si>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</si>
  <si>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</si>
  <si>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</si>
  <si>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</si>
  <si>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</si>
  <si>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</si>
  <si>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</si>
  <si>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</si>
  <si>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</si>
  <si>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</si>
  <si>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</si>
  <si>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</si>
  <si>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</si>
  <si>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</si>
  <si>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</si>
  <si>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</si>
  <si>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</si>
  <si>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</si>
  <si>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</si>
  <si>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</si>
  <si>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</si>
  <si>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</si>
  <si>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</si>
  <si>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</si>
  <si>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</si>
  <si>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</si>
  <si>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</si>
  <si>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</si>
  <si>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</si>
  <si>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</si>
  <si>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</si>
  <si>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</si>
  <si>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</si>
  <si>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</si>
  <si>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</si>
  <si>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</si>
  <si>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</si>
  <si>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</si>
  <si>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</si>
  <si>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</si>
  <si>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</si>
  <si>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</si>
  <si>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</si>
  <si>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</si>
  <si>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</si>
  <si>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</si>
  <si>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</si>
  <si>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</si>
  <si>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</si>
  <si>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</si>
  <si>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</si>
  <si>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</si>
  <si>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</si>
  <si>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</si>
  <si>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</si>
  <si>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</si>
  <si>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</si>
  <si>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</si>
  <si>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</si>
  <si>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</si>
  <si>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</si>
  <si>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</si>
  <si>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</si>
  <si>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</si>
  <si>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</si>
  <si>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</si>
  <si>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</si>
  <si>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</si>
  <si>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</si>
  <si>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</si>
  <si>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</si>
  <si>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</si>
  <si>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</si>
  <si>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</si>
  <si>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</si>
  <si>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</si>
  <si>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</si>
  <si>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</si>
  <si>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</si>
  <si>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</si>
  <si>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</si>
  <si>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</si>
  <si>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</si>
  <si>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</si>
  <si>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</si>
  <si>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</si>
  <si>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</si>
  <si>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</si>
  <si>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</si>
  <si>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</si>
  <si>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</si>
  <si>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</si>
  <si>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</si>
  <si>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</si>
  <si>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</si>
  <si>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</si>
  <si>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</si>
  <si>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</si>
  <si>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</si>
  <si>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</si>
  <si>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</si>
  <si>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</si>
  <si>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</si>
  <si>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</si>
  <si>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</si>
  <si>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</si>
  <si>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</si>
  <si>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</si>
  <si>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</si>
  <si>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</si>
  <si>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</si>
  <si>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</si>
  <si>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</si>
  <si>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</si>
  <si>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</si>
  <si>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</si>
  <si>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</si>
  <si>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</si>
  <si>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</si>
  <si>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</si>
  <si>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</si>
  <si>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</si>
  <si>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</si>
  <si>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</si>
  <si>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</si>
  <si>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</si>
  <si>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</si>
  <si>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</si>
  <si>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</si>
  <si>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</si>
  <si>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</si>
  <si>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</si>
  <si>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</si>
  <si>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</si>
  <si>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</si>
  <si>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</si>
  <si>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</si>
  <si>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</si>
  <si>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</si>
  <si>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</si>
  <si>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</si>
  <si>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</si>
  <si>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</si>
  <si>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</si>
  <si>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</si>
  <si>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</si>
  <si>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</si>
  <si>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</si>
  <si>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</si>
  <si>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</si>
  <si>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</si>
  <si>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</si>
  <si>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</si>
  <si>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</si>
  <si>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</si>
  <si>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</si>
  <si>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</si>
  <si>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</si>
  <si>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</si>
  <si>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</si>
  <si>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</si>
  <si>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</si>
  <si>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</si>
  <si>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</si>
  <si>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</si>
  <si>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</si>
  <si>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</si>
  <si>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</si>
  <si>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</si>
  <si>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</si>
  <si>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</si>
  <si>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</si>
  <si>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</si>
  <si>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</si>
  <si>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</si>
  <si>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</si>
  <si>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</si>
  <si>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</si>
  <si>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</si>
  <si>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</si>
  <si>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</si>
  <si>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</si>
  <si>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</si>
  <si>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</si>
  <si>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</si>
  <si>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</si>
  <si>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</si>
  <si>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</si>
  <si>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</si>
  <si>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</si>
  <si>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</si>
  <si>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</si>
  <si>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</si>
  <si>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</si>
  <si>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</si>
  <si>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</si>
  <si>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</si>
  <si>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</si>
  <si>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</si>
  <si>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</si>
  <si>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</si>
  <si>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</si>
  <si>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</si>
  <si>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</si>
  <si>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</si>
  <si>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</si>
  <si>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</si>
  <si>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</si>
  <si>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</si>
  <si>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</si>
  <si>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</si>
  <si>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</si>
  <si>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</si>
  <si>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</si>
  <si>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</si>
  <si>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</si>
  <si>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</si>
  <si>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</si>
  <si>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</si>
  <si>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</si>
  <si>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</si>
  <si>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</si>
  <si>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</si>
  <si>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</si>
  <si>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</si>
  <si>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</si>
  <si>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</si>
  <si>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</si>
  <si>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</si>
  <si>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</si>
  <si>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</si>
  <si>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</si>
  <si>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</si>
  <si>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</si>
  <si>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</si>
  <si>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</si>
  <si>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</si>
  <si>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</si>
  <si>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</si>
  <si>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</si>
  <si>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</si>
  <si>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</si>
  <si>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</si>
  <si>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</si>
  <si>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</si>
  <si>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</si>
  <si>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</si>
  <si>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</si>
  <si>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</si>
  <si>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</si>
  <si>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</si>
  <si>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</si>
  <si>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</si>
  <si>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</si>
  <si>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</si>
  <si>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</si>
  <si>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</si>
  <si>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</si>
  <si>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</si>
  <si>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</si>
  <si>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</si>
  <si>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</si>
  <si>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</si>
  <si>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</si>
  <si>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</si>
  <si>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</si>
  <si>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</si>
  <si>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</si>
  <si>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</si>
  <si>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</si>
  <si>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</si>
  <si>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</si>
  <si>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</si>
  <si>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</si>
  <si>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</si>
  <si>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</si>
  <si>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</si>
  <si>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</si>
  <si>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</si>
  <si>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</si>
  <si>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</si>
  <si>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</si>
  <si>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</si>
  <si>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</si>
  <si>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</si>
  <si>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</si>
  <si>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</si>
  <si>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</si>
  <si>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</si>
  <si>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</si>
  <si>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</si>
  <si>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</si>
  <si>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</si>
  <si>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</si>
  <si>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</si>
  <si>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</si>
  <si>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</si>
  <si>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</si>
  <si>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</si>
  <si>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</si>
  <si>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</si>
  <si>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</si>
  <si>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</si>
  <si>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</si>
  <si>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</si>
  <si>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</si>
  <si>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</si>
  <si>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</si>
  <si>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</si>
  <si>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</si>
  <si>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</si>
  <si>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</si>
  <si>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</si>
  <si>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</si>
  <si>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</si>
  <si>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</si>
  <si>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</si>
  <si>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</si>
  <si>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</si>
  <si>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</si>
  <si>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</si>
  <si>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</si>
  <si>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</si>
  <si>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</si>
  <si>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</si>
  <si>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</si>
  <si>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</si>
  <si>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</si>
  <si>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</si>
  <si>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</si>
  <si>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</si>
  <si>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</si>
  <si>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</si>
  <si>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</si>
  <si>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</si>
  <si>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</si>
  <si>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</si>
  <si>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</si>
  <si>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</si>
  <si>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</si>
  <si>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</si>
  <si>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</si>
  <si>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</si>
  <si>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</si>
  <si>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</si>
  <si>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</si>
  <si>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</si>
  <si>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</si>
  <si>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</si>
  <si>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</si>
  <si>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</si>
  <si>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</si>
  <si>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</si>
  <si>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</si>
  <si>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</si>
  <si>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</si>
  <si>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</si>
  <si>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</si>
  <si>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</si>
  <si>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</si>
  <si>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</si>
  <si>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</si>
  <si>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</si>
  <si>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</si>
  <si>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</si>
  <si>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</si>
  <si>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</si>
  <si>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</si>
  <si>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</si>
  <si>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</si>
  <si>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</si>
  <si>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</si>
  <si>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</si>
  <si>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</si>
  <si>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</si>
  <si>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</si>
  <si>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</si>
  <si>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</si>
  <si>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</si>
  <si>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</si>
  <si>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</si>
  <si>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</si>
  <si>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</si>
  <si>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</si>
  <si>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</si>
  <si>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</si>
  <si>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</si>
  <si>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</si>
  <si>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</si>
  <si>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</si>
  <si>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</si>
  <si>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</si>
  <si>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</si>
  <si>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</si>
  <si>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</si>
  <si>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</si>
  <si>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</si>
  <si>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</si>
  <si>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</si>
  <si>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</si>
  <si>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</si>
  <si>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</si>
  <si>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</si>
  <si>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</si>
  <si>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</si>
  <si>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</si>
  <si>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</si>
  <si>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</si>
  <si>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</si>
  <si>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</si>
  <si>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</si>
  <si>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</si>
  <si>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</si>
  <si>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</si>
  <si>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</si>
  <si>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</si>
  <si>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</si>
  <si>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</si>
  <si>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</si>
  <si>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</si>
  <si>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</si>
  <si>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</si>
  <si>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</si>
  <si>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</si>
  <si>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</si>
  <si>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</si>
  <si>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</si>
  <si>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</si>
  <si>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</si>
  <si>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</si>
  <si>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</si>
  <si>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</si>
  <si>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</si>
  <si>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</si>
  <si>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</si>
  <si>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</si>
  <si>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</si>
  <si>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</si>
  <si>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</si>
  <si>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</si>
  <si>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</si>
  <si>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</si>
  <si>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</si>
  <si>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</si>
  <si>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</si>
  <si>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</si>
  <si>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</si>
  <si>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</si>
  <si>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</si>
  <si>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</si>
  <si>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</si>
  <si>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</si>
  <si>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</si>
  <si>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</si>
  <si>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</si>
  <si>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</si>
  <si>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</si>
  <si>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</si>
  <si>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</si>
  <si>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</si>
  <si>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</si>
  <si>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</si>
  <si>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</si>
  <si>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</si>
  <si>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</si>
  <si>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</si>
  <si>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</si>
  <si>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</si>
  <si>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</si>
  <si>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</si>
  <si>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</si>
  <si>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</si>
  <si>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</si>
  <si>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</si>
  <si>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</si>
  <si>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</si>
  <si>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</si>
  <si>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</si>
  <si>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</si>
  <si>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</si>
  <si>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</si>
  <si>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</si>
  <si>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</si>
  <si>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</si>
  <si>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</si>
  <si>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</si>
  <si>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</si>
  <si>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</si>
  <si>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</si>
  <si>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</si>
  <si>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</si>
  <si>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</si>
  <si>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</si>
  <si>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</si>
  <si>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</si>
  <si>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</si>
  <si>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</si>
  <si>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</si>
  <si>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</si>
  <si>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</si>
  <si>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</si>
  <si>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</si>
  <si>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</si>
  <si>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</si>
  <si>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</si>
  <si>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</si>
  <si>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</si>
  <si>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</si>
  <si>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</si>
  <si>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</si>
  <si>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</si>
  <si>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</si>
  <si>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</si>
  <si>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</si>
  <si>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</si>
  <si>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</si>
  <si>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</si>
  <si>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</si>
  <si>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</si>
  <si>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</si>
  <si>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</si>
  <si>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</si>
  <si>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</si>
  <si>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</si>
  <si>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</si>
  <si>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</si>
  <si>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</si>
  <si>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</si>
  <si>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</si>
  <si>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</si>
  <si>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</si>
  <si>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</si>
  <si>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</si>
  <si>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</si>
  <si>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</si>
  <si>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</si>
  <si>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</si>
  <si>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</si>
  <si>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</si>
  <si>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</si>
  <si>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</si>
  <si>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</si>
  <si>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</si>
  <si>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</si>
  <si>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</si>
  <si>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</si>
  <si>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</si>
  <si>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</si>
  <si>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</si>
  <si>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</si>
  <si>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</si>
  <si>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</si>
  <si>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</si>
  <si>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</si>
  <si>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</si>
  <si>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</si>
  <si>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</si>
  <si>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</si>
  <si>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</si>
  <si>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</si>
  <si>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</si>
  <si>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</si>
  <si>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</si>
  <si>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</si>
  <si>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</si>
  <si>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</si>
  <si>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</si>
  <si>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</si>
  <si>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</si>
  <si>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</si>
  <si>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</si>
  <si>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</si>
  <si>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</si>
  <si>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</si>
  <si>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</si>
  <si>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</si>
  <si>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</si>
  <si>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</si>
  <si>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</si>
  <si>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</si>
  <si>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</si>
  <si>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</si>
  <si>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</si>
  <si>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</si>
  <si>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</si>
  <si>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</si>
  <si>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</si>
  <si>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</si>
  <si>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</si>
  <si>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</si>
  <si>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</si>
  <si>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</si>
  <si>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</si>
  <si>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</si>
  <si>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</si>
  <si>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</si>
  <si>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</si>
  <si>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</si>
  <si>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</si>
  <si>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</si>
  <si>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</si>
  <si>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</si>
  <si>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</si>
  <si>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</si>
  <si>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</si>
  <si>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</si>
  <si>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</si>
  <si>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</si>
  <si>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</si>
  <si>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</si>
  <si>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</si>
  <si>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</si>
  <si>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</si>
  <si>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</si>
  <si>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</si>
  <si>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</si>
  <si>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</si>
  <si>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</si>
  <si>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</si>
  <si>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</si>
  <si>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</si>
  <si>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</si>
  <si>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</si>
  <si>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</si>
  <si>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</si>
  <si>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</si>
  <si>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</si>
  <si>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</si>
  <si>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</si>
  <si>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</si>
  <si>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</si>
  <si>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</si>
  <si>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</si>
  <si>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</si>
  <si>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</si>
  <si>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</si>
  <si>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</si>
  <si>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</si>
  <si>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</si>
  <si>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</si>
  <si>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</si>
  <si>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</si>
  <si>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</si>
  <si>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</si>
  <si>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</si>
  <si>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</si>
  <si>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</si>
  <si>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</si>
  <si>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</si>
  <si>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</si>
  <si>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</si>
  <si>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</si>
  <si>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</si>
  <si>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</si>
  <si>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</si>
  <si>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</si>
  <si>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</si>
  <si>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</si>
  <si>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</si>
  <si>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</si>
  <si>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</si>
  <si>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</si>
  <si>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</si>
  <si>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</si>
  <si>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</si>
  <si>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</si>
  <si>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</si>
  <si>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</si>
  <si>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</si>
  <si>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</si>
  <si>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</si>
  <si>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</si>
  <si>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</si>
  <si>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</si>
  <si>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</si>
  <si>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</si>
  <si>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</si>
  <si>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</si>
  <si>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</si>
  <si>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</si>
  <si>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</si>
  <si>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</si>
  <si>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</si>
  <si>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</si>
  <si>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</si>
  <si>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</si>
  <si>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</si>
  <si>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</si>
  <si>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</si>
  <si>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</si>
  <si>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</si>
  <si>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</si>
  <si>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</si>
  <si>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</si>
  <si>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</si>
  <si>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</si>
  <si>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</si>
  <si>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</si>
  <si>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</si>
  <si>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</si>
  <si>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</si>
  <si>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</si>
  <si>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</si>
  <si>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</si>
  <si>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</si>
  <si>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</si>
  <si>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</si>
  <si>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</si>
  <si>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</si>
  <si>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</si>
  <si>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</si>
  <si>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</si>
  <si>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</si>
  <si>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</si>
  <si>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</si>
  <si>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</si>
  <si>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</si>
  <si>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</si>
  <si>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</si>
  <si>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</si>
  <si>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</si>
  <si>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</si>
  <si>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</si>
  <si>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</si>
  <si>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</si>
  <si>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</si>
  <si>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</si>
  <si>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</si>
  <si>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</si>
  <si>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</si>
  <si>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</si>
  <si>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</si>
  <si>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</si>
  <si>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</si>
  <si>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</si>
  <si>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</si>
  <si>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</si>
  <si>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</si>
  <si>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</si>
  <si>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</si>
  <si>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</si>
  <si>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</si>
  <si>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</si>
  <si>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</si>
  <si>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</si>
  <si>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</si>
  <si>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</si>
  <si>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</si>
  <si>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</si>
  <si>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</si>
  <si>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</si>
  <si>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</si>
  <si>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</si>
  <si>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</si>
  <si>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</si>
  <si>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</si>
  <si>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</si>
  <si>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</si>
  <si>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</si>
  <si>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</si>
  <si>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</si>
  <si>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</si>
  <si>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</si>
  <si>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</si>
  <si>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</si>
  <si>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</si>
  <si>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</si>
  <si>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</si>
  <si>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</si>
  <si>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</si>
  <si>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</si>
  <si>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</si>
  <si>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</si>
  <si>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</si>
  <si>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</si>
  <si>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</si>
  <si>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</si>
  <si>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</si>
  <si>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</si>
  <si>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</si>
  <si>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</si>
  <si>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</si>
  <si>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</si>
  <si>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</si>
  <si>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</si>
  <si>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</si>
  <si>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</si>
  <si>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</si>
  <si>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</si>
  <si>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</si>
  <si>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</si>
  <si>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</si>
  <si>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</si>
  <si>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</si>
  <si>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</si>
  <si>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</si>
  <si>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</si>
  <si>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</si>
  <si>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</si>
  <si>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</si>
  <si>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</si>
  <si>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</si>
  <si>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</si>
  <si>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</si>
  <si>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</si>
  <si>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</si>
  <si>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</si>
  <si>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</si>
  <si>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</si>
  <si>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</si>
  <si>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</si>
  <si>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</si>
  <si>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</si>
  <si>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</si>
  <si>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</si>
  <si>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</si>
  <si>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</si>
  <si>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</si>
  <si>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</si>
  <si>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</si>
  <si>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</si>
  <si>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</si>
  <si>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</si>
  <si>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</si>
  <si>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</si>
  <si>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</si>
  <si>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</si>
  <si>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</si>
  <si>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</si>
  <si>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</si>
  <si>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</si>
  <si>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</si>
  <si>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</si>
  <si>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</si>
  <si>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</si>
  <si>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</si>
  <si>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</si>
  <si>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</si>
  <si>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</si>
  <si>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</si>
  <si>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</si>
  <si>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</si>
  <si>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</si>
  <si>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</si>
  <si>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</si>
  <si>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</si>
  <si>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</si>
  <si>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</si>
  <si>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</si>
  <si>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</si>
  <si>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</si>
  <si>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</si>
  <si>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</si>
  <si>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</si>
  <si>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</si>
  <si>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</si>
  <si>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</si>
  <si>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</si>
  <si>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</si>
  <si>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</si>
  <si>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</si>
  <si>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</si>
  <si>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</si>
  <si>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</si>
  <si>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</si>
  <si>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</si>
  <si>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</si>
  <si>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</si>
  <si>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</si>
  <si>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</si>
  <si>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</si>
  <si>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</si>
  <si>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</si>
  <si>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</si>
  <si>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</si>
  <si>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</si>
  <si>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</si>
  <si>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</si>
  <si>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</si>
  <si>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</si>
  <si>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</si>
  <si>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</si>
  <si>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</si>
  <si>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</si>
  <si>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</si>
  <si>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</si>
  <si>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</si>
  <si>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</si>
  <si>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</si>
  <si>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</si>
  <si>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</si>
  <si>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</si>
  <si>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</si>
  <si>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</si>
  <si>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</si>
  <si>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</si>
  <si>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</si>
  <si>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</si>
  <si>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</si>
  <si>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</si>
  <si>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</si>
  <si>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</si>
  <si>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</si>
  <si>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</si>
  <si>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</si>
  <si>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</si>
  <si>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</si>
  <si>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</si>
  <si>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</si>
  <si>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</si>
  <si>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</si>
  <si>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</si>
  <si>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</si>
  <si>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</si>
  <si>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</si>
  <si>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</si>
  <si>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</si>
  <si>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</si>
  <si>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</si>
  <si>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</si>
  <si>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</si>
  <si>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</si>
  <si>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</si>
  <si>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</si>
  <si>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</si>
  <si>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</si>
  <si>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</si>
  <si>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</si>
  <si>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</si>
  <si>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</si>
  <si>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</si>
  <si>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</si>
  <si>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</si>
  <si>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</si>
  <si>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</si>
  <si>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</si>
  <si>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</si>
  <si>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</si>
  <si>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</si>
  <si>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</si>
  <si>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</si>
  <si>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</si>
  <si>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</si>
  <si>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</si>
  <si>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</si>
  <si>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</si>
  <si>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</si>
  <si>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</si>
  <si>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</si>
  <si>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</si>
  <si>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</si>
  <si>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</si>
  <si>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</si>
  <si>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</si>
  <si>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</si>
  <si>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</si>
  <si>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</si>
  <si>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</si>
  <si>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</si>
  <si>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</si>
  <si>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</si>
  <si>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</si>
  <si>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</si>
  <si>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</si>
  <si>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</si>
  <si>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</si>
  <si>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</si>
  <si>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</si>
  <si>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</si>
  <si>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</si>
  <si>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</si>
  <si>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</si>
  <si>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</si>
  <si>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</si>
  <si>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</si>
  <si>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</si>
  <si>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</si>
  <si>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</si>
  <si>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</si>
  <si>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</si>
  <si>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</si>
  <si>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</si>
  <si>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</si>
  <si>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</si>
  <si>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</si>
  <si>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</si>
  <si>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</si>
  <si>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</si>
  <si>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</si>
  <si>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</si>
  <si>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</si>
  <si>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</si>
  <si>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</si>
  <si>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</si>
  <si>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</si>
  <si>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</si>
  <si>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</si>
  <si>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</si>
  <si>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</si>
  <si>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</si>
  <si>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</si>
  <si>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</si>
  <si>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</si>
  <si>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</si>
  <si>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</si>
  <si>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</si>
  <si>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</si>
  <si>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</si>
  <si>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</si>
  <si>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</si>
  <si>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</si>
  <si>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</si>
  <si>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</si>
  <si>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</si>
  <si>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</si>
  <si>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</si>
  <si>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</si>
  <si>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</si>
  <si>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</si>
  <si>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</si>
  <si>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</si>
  <si>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</si>
  <si>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</si>
  <si>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</si>
  <si>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</si>
  <si>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</si>
  <si>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</si>
  <si>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</si>
  <si>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</si>
  <si>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</si>
  <si>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</si>
  <si>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</si>
  <si>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</si>
  <si>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</si>
  <si>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</si>
  <si>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</si>
  <si>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</si>
  <si>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</si>
  <si>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</si>
  <si>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</si>
  <si>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</si>
  <si>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</si>
  <si>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</si>
  <si>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</si>
  <si>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</si>
  <si>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</si>
  <si>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</si>
  <si>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</si>
  <si>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</si>
  <si>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</si>
  <si>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</si>
  <si>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</si>
  <si>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</si>
  <si>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</si>
  <si>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</si>
  <si>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</si>
  <si>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</si>
  <si>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</si>
  <si>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</si>
  <si>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</si>
  <si>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</si>
  <si>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</si>
  <si>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</si>
  <si>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</si>
  <si>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</si>
  <si>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</si>
  <si>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</si>
  <si>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</si>
  <si>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</si>
  <si>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</si>
  <si>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</si>
  <si>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</si>
  <si>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</si>
  <si>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</si>
  <si>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</si>
  <si>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</si>
  <si>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</si>
  <si>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</si>
  <si>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</si>
  <si>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</si>
  <si>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</si>
  <si>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</si>
  <si>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</si>
  <si>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</si>
  <si>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</si>
  <si>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</si>
  <si>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</si>
  <si>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</si>
  <si>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</si>
  <si>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</si>
  <si>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</si>
  <si>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</si>
  <si>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</si>
  <si>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</si>
  <si>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</si>
  <si>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</si>
  <si>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</si>
  <si>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</si>
  <si>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</si>
  <si>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</si>
  <si>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</si>
  <si>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</si>
  <si>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</si>
  <si>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</si>
  <si>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</si>
  <si>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</si>
  <si>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</si>
  <si>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</si>
  <si>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</si>
  <si>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</si>
  <si>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</si>
  <si>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</si>
  <si>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</si>
  <si>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</si>
  <si>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</si>
  <si>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</si>
  <si>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</si>
  <si>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</si>
  <si>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</si>
  <si>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</si>
  <si>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</si>
  <si>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</si>
  <si>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</si>
  <si>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</si>
  <si>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</si>
  <si>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</si>
  <si>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</si>
  <si>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</si>
  <si>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</si>
  <si>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</si>
  <si>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</si>
  <si>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</si>
  <si>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</si>
  <si>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</si>
  <si>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</si>
  <si>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</si>
  <si>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</si>
  <si>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</si>
  <si>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</si>
  <si>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</si>
  <si>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</si>
  <si>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</si>
  <si>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</si>
  <si>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</si>
  <si>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</si>
  <si>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</si>
  <si>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</si>
  <si>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</si>
  <si>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</si>
  <si>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</si>
  <si>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</si>
  <si>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</si>
  <si>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</si>
  <si>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</si>
  <si>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</si>
  <si>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</si>
  <si>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</si>
  <si>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</si>
  <si>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</si>
  <si>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</si>
  <si>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</si>
  <si>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</si>
  <si>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</si>
  <si>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</si>
  <si>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</si>
  <si>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</si>
  <si>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</si>
  <si>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</si>
  <si>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</si>
  <si>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</si>
  <si>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</si>
  <si>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</si>
  <si>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</si>
  <si>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</si>
  <si>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</si>
  <si>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</si>
  <si>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</si>
  <si>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</si>
  <si>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</si>
  <si>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</si>
  <si>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</si>
  <si>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</si>
  <si>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</si>
  <si>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</si>
  <si>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</si>
  <si>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</si>
  <si>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</si>
  <si>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</si>
  <si>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</si>
  <si>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</si>
  <si>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</si>
  <si>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</si>
  <si>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</si>
  <si>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</si>
  <si>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</si>
  <si>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</si>
  <si>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</si>
  <si>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</si>
  <si>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</si>
  <si>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</si>
  <si>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</si>
  <si>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</si>
  <si>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</si>
  <si>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</si>
  <si>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</si>
  <si>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</si>
  <si>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</si>
  <si>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</si>
  <si>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</si>
  <si>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</si>
  <si>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</si>
  <si>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</si>
  <si>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</si>
  <si>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</si>
  <si>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</si>
  <si>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</si>
  <si>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</si>
  <si>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</si>
  <si>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</si>
  <si>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</si>
  <si>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</si>
  <si>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</si>
  <si>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</si>
  <si>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</si>
  <si>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</si>
  <si>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</si>
  <si>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</si>
  <si>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</si>
  <si>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</si>
  <si>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</si>
  <si>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</si>
  <si>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</si>
  <si>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</si>
  <si>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</si>
  <si>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</si>
  <si>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</si>
  <si>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</si>
  <si>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</si>
  <si>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</si>
  <si>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</si>
  <si>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</si>
  <si>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</si>
  <si>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</si>
  <si>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</si>
  <si>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</si>
  <si>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</si>
  <si>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</si>
  <si>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</si>
  <si>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</si>
  <si>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</si>
  <si>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</si>
  <si>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</si>
  <si>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</si>
  <si>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</si>
  <si>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</si>
  <si>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</si>
  <si>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</si>
  <si>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</si>
  <si>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</si>
  <si>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</si>
  <si>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</si>
  <si>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</si>
  <si>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</si>
  <si>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</si>
  <si>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</si>
  <si>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</si>
  <si>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</si>
  <si>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</si>
  <si>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</si>
  <si>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</si>
  <si>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</si>
  <si>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</si>
  <si>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</si>
  <si>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</si>
  <si>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</si>
  <si>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</si>
  <si>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</si>
  <si>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</si>
  <si>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</si>
  <si>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</si>
  <si>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</si>
  <si>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</si>
  <si>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</si>
  <si>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</si>
  <si>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</si>
  <si>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</si>
  <si>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</si>
  <si>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</si>
  <si>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</si>
  <si>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</si>
  <si>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</si>
  <si>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</si>
  <si>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</si>
  <si>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</si>
  <si>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</si>
  <si>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</si>
  <si>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</si>
  <si>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</si>
  <si>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</si>
  <si>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</si>
  <si>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</si>
  <si>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</si>
  <si>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</si>
  <si>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</si>
  <si>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</si>
  <si>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</si>
  <si>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</si>
  <si>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</si>
  <si>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</si>
  <si>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</si>
  <si>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</si>
  <si>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</si>
  <si>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</si>
  <si>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</si>
  <si>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</si>
  <si>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</si>
  <si>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</si>
  <si>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</si>
  <si>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</si>
  <si>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</si>
  <si>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</si>
  <si>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</si>
  <si>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</si>
  <si>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</si>
  <si>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</si>
  <si>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</si>
  <si>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</si>
  <si>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</si>
  <si>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</si>
  <si>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</si>
  <si>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</si>
  <si>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</si>
  <si>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</si>
  <si>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</si>
  <si>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</si>
  <si>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</si>
  <si>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</si>
  <si>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</si>
  <si>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</si>
  <si>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</si>
  <si>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</si>
  <si>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</si>
  <si>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</si>
  <si>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</si>
  <si>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</si>
  <si>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</si>
  <si>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</si>
  <si>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</si>
  <si>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</si>
  <si>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</si>
  <si>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</si>
  <si>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</si>
  <si>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</si>
  <si>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</si>
  <si>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</si>
  <si>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</si>
  <si>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</si>
  <si>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</si>
  <si>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</si>
  <si>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</si>
  <si>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</si>
  <si>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</si>
  <si>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</si>
  <si>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</si>
  <si>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</si>
  <si>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</si>
  <si>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</si>
  <si>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</si>
  <si>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</si>
  <si>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</si>
  <si>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</si>
  <si>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</si>
  <si>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</si>
  <si>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</si>
  <si>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</si>
  <si>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</si>
  <si>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</si>
  <si>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</si>
  <si>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</si>
  <si>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</si>
  <si>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</si>
  <si>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</si>
  <si>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</si>
  <si>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</si>
  <si>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</si>
  <si>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</si>
  <si>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</si>
  <si>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</si>
  <si>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</si>
  <si>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</si>
  <si>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</si>
  <si>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</si>
  <si>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</si>
  <si>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</si>
  <si>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</si>
  <si>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</si>
  <si>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</si>
  <si>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</si>
  <si>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</si>
  <si>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</si>
  <si>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</si>
  <si>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</si>
  <si>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</si>
  <si>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</si>
  <si>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</si>
  <si>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</si>
  <si>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</si>
  <si>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</si>
  <si>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</si>
  <si>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</si>
  <si>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</si>
  <si>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</si>
  <si>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</si>
  <si>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</si>
  <si>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</si>
  <si>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</si>
  <si>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</si>
  <si>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</si>
  <si>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</si>
  <si>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</si>
  <si>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</si>
  <si>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</si>
  <si>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</si>
  <si>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</si>
  <si>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</si>
  <si>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</si>
  <si>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</si>
  <si>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</si>
  <si>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</si>
  <si>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</si>
  <si>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</si>
  <si>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</si>
  <si>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</si>
  <si>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</si>
  <si>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</si>
  <si>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</si>
  <si>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</si>
  <si>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</si>
  <si>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</si>
  <si>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</si>
  <si>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</si>
  <si>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</si>
  <si>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</si>
  <si>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</si>
  <si>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</si>
  <si>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</si>
  <si>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</si>
  <si>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</si>
  <si>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</si>
  <si>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</si>
  <si>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</si>
  <si>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</si>
  <si>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</si>
  <si>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</si>
  <si>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</si>
  <si>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</si>
  <si>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</si>
  <si>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</si>
  <si>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</si>
  <si>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</si>
  <si>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</si>
  <si>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</si>
  <si>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</si>
  <si>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</si>
  <si>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</si>
  <si>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</si>
  <si>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</si>
  <si>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</si>
  <si>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</si>
  <si>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</si>
  <si>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</si>
  <si>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</si>
  <si>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</si>
  <si>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</si>
  <si>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</si>
  <si>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</si>
  <si>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</si>
  <si>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</si>
  <si>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</si>
  <si>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</si>
  <si>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</si>
  <si>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</si>
  <si>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</si>
  <si>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</si>
  <si>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</si>
  <si>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</si>
  <si>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</si>
  <si>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</si>
  <si>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</si>
  <si>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</si>
  <si>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</si>
  <si>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</si>
  <si>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</si>
  <si>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</si>
  <si>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</si>
  <si>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</si>
  <si>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</si>
  <si>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</si>
  <si>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</si>
  <si>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</si>
  <si>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</si>
  <si>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</si>
  <si>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</si>
  <si>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</si>
  <si>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</si>
  <si>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</si>
  <si>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</si>
  <si>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</si>
  <si>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</si>
  <si>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</si>
  <si>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</si>
  <si>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</si>
  <si>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</si>
  <si>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</si>
  <si>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</si>
  <si>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</si>
  <si>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</si>
  <si>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</si>
  <si>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</si>
  <si>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</si>
  <si>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</si>
  <si>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</si>
  <si>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</si>
  <si>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</si>
  <si>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</si>
  <si>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</si>
  <si>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</si>
  <si>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</si>
  <si>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</si>
  <si>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</si>
  <si>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</si>
  <si>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</si>
  <si>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</si>
  <si>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</si>
  <si>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</si>
  <si>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</si>
  <si>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</si>
  <si>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</si>
  <si>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</si>
  <si>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</si>
  <si>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</si>
  <si>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</si>
  <si>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</si>
  <si>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</si>
  <si>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</si>
  <si>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</si>
  <si>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</si>
  <si>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</si>
  <si>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</si>
  <si>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</si>
  <si>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</si>
  <si>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</si>
  <si>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</si>
  <si>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</si>
  <si>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</si>
  <si>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</si>
  <si>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</si>
  <si>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</si>
  <si>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</si>
  <si>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</si>
  <si>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</si>
  <si>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</si>
  <si>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</si>
  <si>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</si>
  <si>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</si>
  <si>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</si>
  <si>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</si>
  <si>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</si>
  <si>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</si>
  <si>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</si>
  <si>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</si>
  <si>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</si>
  <si>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</si>
  <si>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</si>
  <si>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</si>
  <si>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</si>
  <si>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</si>
  <si>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</si>
  <si>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</si>
  <si>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</si>
  <si>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</si>
  <si>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</si>
  <si>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</si>
  <si>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</si>
  <si>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</si>
  <si>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</si>
  <si>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</si>
  <si>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</si>
  <si>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</si>
  <si>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</si>
  <si>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</si>
  <si>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</si>
  <si>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</si>
  <si>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</si>
  <si>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</si>
  <si>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</si>
  <si>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</si>
  <si>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</si>
  <si>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</si>
  <si>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</si>
  <si>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</si>
  <si>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</si>
  <si>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</si>
  <si>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</si>
  <si>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</si>
  <si>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</si>
  <si>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</si>
  <si>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</si>
  <si>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</si>
  <si>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</si>
  <si>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</si>
  <si>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</si>
  <si>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</si>
  <si>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</si>
  <si>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</si>
  <si>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</si>
  <si>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</si>
  <si>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</si>
  <si>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</si>
  <si>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</si>
  <si>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</si>
  <si>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</si>
  <si>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</si>
  <si>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</si>
  <si>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</si>
  <si>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</si>
  <si>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</si>
  <si>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</si>
  <si>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</si>
  <si>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</si>
  <si>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</si>
  <si>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</si>
  <si>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</si>
  <si>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</si>
  <si>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</si>
  <si>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</si>
  <si>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</si>
  <si>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</si>
  <si>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</si>
  <si>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</si>
  <si>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</si>
  <si>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</si>
  <si>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</si>
  <si>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</si>
  <si>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</si>
  <si>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</si>
  <si>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</si>
  <si>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</si>
  <si>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</si>
  <si>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</si>
  <si>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</si>
  <si>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</si>
  <si>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</si>
  <si>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</si>
  <si>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</si>
  <si>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</si>
  <si>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</si>
  <si>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</si>
  <si>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</si>
  <si>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</si>
  <si>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</si>
  <si>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</si>
  <si>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</si>
  <si>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</si>
  <si>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</si>
  <si>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</si>
  <si>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</si>
  <si>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</si>
  <si>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</si>
  <si>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</si>
  <si>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</si>
  <si>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</si>
  <si>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</si>
  <si>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</si>
  <si>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</si>
  <si>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</si>
  <si>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</si>
  <si>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</si>
  <si>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</si>
  <si>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</si>
  <si>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</si>
  <si>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</si>
  <si>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</si>
  <si>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</si>
  <si>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</si>
  <si>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</si>
  <si>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</si>
  <si>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</si>
  <si>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</si>
  <si>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</si>
  <si>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</si>
  <si>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</si>
  <si>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</si>
  <si>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</si>
  <si>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</si>
  <si>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</si>
  <si>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</si>
  <si>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</si>
  <si>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</si>
  <si>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</si>
  <si>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</si>
  <si>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</si>
  <si>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</si>
  <si>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</si>
  <si>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</si>
  <si>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</si>
  <si>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</si>
  <si>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</si>
  <si>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</si>
  <si>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</si>
  <si>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</si>
  <si>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</si>
  <si>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</si>
  <si>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</si>
  <si>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</si>
  <si>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</si>
  <si>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</si>
  <si>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</si>
  <si>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</si>
  <si>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</si>
  <si>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</si>
  <si>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</si>
  <si>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</si>
  <si>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</si>
  <si>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</si>
  <si>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</si>
  <si>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</si>
  <si>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</si>
  <si>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</si>
  <si>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</si>
  <si>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</si>
  <si>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</si>
  <si>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</si>
  <si>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</si>
  <si>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</si>
  <si>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</si>
  <si>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</si>
  <si>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</si>
  <si>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</si>
  <si>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</si>
  <si>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</si>
  <si>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</si>
  <si>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</si>
  <si>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</si>
  <si>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</si>
  <si>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</si>
  <si>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</si>
  <si>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</si>
  <si>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</si>
  <si>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</si>
  <si>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</si>
  <si>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</si>
  <si>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</si>
  <si>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</si>
  <si>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</si>
  <si>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</si>
  <si>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</si>
  <si>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</si>
  <si>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</si>
  <si>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</si>
  <si>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</si>
  <si>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</si>
  <si>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</si>
  <si>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</si>
  <si>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</si>
  <si>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</si>
  <si>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</si>
  <si>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</si>
  <si>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</si>
  <si>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</si>
  <si>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</si>
  <si>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</si>
  <si>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</si>
  <si>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</si>
  <si>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</si>
  <si>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</si>
  <si>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</si>
  <si>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</si>
  <si>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</si>
  <si>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</si>
  <si>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</si>
  <si>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</si>
  <si>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</si>
  <si>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</si>
  <si>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</si>
  <si>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</si>
  <si>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</si>
  <si>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</si>
  <si>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</si>
  <si>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</si>
  <si>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</si>
  <si>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</si>
  <si>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</si>
  <si>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</si>
  <si>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</si>
  <si>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</si>
  <si>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</si>
  <si>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</si>
  <si>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</si>
  <si>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</si>
  <si>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</si>
  <si>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</si>
  <si>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</si>
  <si>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</si>
  <si>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</si>
  <si>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</si>
  <si>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</si>
  <si>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</si>
  <si>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</si>
  <si>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</si>
  <si>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</si>
  <si>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</si>
  <si>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</si>
  <si>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</si>
  <si>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</si>
  <si>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</si>
  <si>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</si>
  <si>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</si>
  <si>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</si>
  <si>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</si>
  <si>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</si>
  <si>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</si>
  <si>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</si>
  <si>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</si>
  <si>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</si>
  <si>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</si>
  <si>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</si>
  <si>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</si>
  <si>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</si>
  <si>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</si>
  <si>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</si>
  <si>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</si>
  <si>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</si>
  <si>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</si>
  <si>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</si>
  <si>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</si>
  <si>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</si>
  <si>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</si>
  <si>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</si>
  <si>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</si>
  <si>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</si>
  <si>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</si>
  <si>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</si>
  <si>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</si>
  <si>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</si>
  <si>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</si>
  <si>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</si>
  <si>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</si>
  <si>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</si>
  <si>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</si>
  <si>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</si>
  <si>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</si>
  <si>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</si>
  <si>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</si>
  <si>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</si>
  <si>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</si>
  <si>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</si>
  <si>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</si>
  <si>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</si>
  <si>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</si>
  <si>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</si>
  <si>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</si>
  <si>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</si>
  <si>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</si>
  <si>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</si>
  <si>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</si>
  <si>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</si>
  <si>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</si>
  <si>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</si>
  <si>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</si>
  <si>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</si>
  <si>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</si>
  <si>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</si>
  <si>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</si>
  <si>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</si>
  <si>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</si>
  <si>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</si>
  <si>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</si>
  <si>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</si>
  <si>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</si>
  <si>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</si>
  <si>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</si>
  <si>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</si>
  <si>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</si>
  <si>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</si>
  <si>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</si>
  <si>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</si>
  <si>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</si>
  <si>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</si>
  <si>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</si>
  <si>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</si>
  <si>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</si>
  <si>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</si>
  <si>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</si>
  <si>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</si>
  <si>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</si>
  <si>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</si>
  <si>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</si>
  <si>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</si>
  <si>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</si>
  <si>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</si>
  <si>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</si>
  <si>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</si>
  <si>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</si>
  <si>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</si>
  <si>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</si>
  <si>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</si>
  <si>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</si>
  <si>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</si>
  <si>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</si>
  <si>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</si>
  <si>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</si>
  <si>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</si>
  <si>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</si>
  <si>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</si>
  <si>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</si>
  <si>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</si>
  <si>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</si>
  <si>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</si>
  <si>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</si>
  <si>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</si>
  <si>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</si>
  <si>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</si>
  <si>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</si>
  <si>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</si>
  <si>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</si>
  <si>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</si>
  <si>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</si>
  <si>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</si>
  <si>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</si>
  <si>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</si>
  <si>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</si>
  <si>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</si>
  <si>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</si>
  <si>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</si>
  <si>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</si>
  <si>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</si>
  <si>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</si>
  <si>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</si>
  <si>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</si>
  <si>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</si>
  <si>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</si>
  <si>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</si>
  <si>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</si>
  <si>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</si>
  <si>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</si>
  <si>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</si>
  <si>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</si>
  <si>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</si>
  <si>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</si>
  <si>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</si>
  <si>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</si>
  <si>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</si>
  <si>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</si>
  <si>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</si>
  <si>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</si>
  <si>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</si>
  <si>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</si>
  <si>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</si>
  <si>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</si>
  <si>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</si>
  <si>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</si>
  <si>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</si>
  <si>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</si>
  <si>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</si>
  <si>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</si>
  <si>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</si>
  <si>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</si>
  <si>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</si>
  <si>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</si>
  <si>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</si>
  <si>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</si>
  <si>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</si>
  <si>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</si>
  <si>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</si>
  <si>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</si>
  <si>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</si>
  <si>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</si>
  <si>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</si>
  <si>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</si>
  <si>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</si>
  <si>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</si>
  <si>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</si>
  <si>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</si>
  <si>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</si>
  <si>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</si>
  <si>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</si>
  <si>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</si>
  <si>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</si>
  <si>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</si>
  <si>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</si>
  <si>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</si>
  <si>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</si>
  <si>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</si>
  <si>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</si>
  <si>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</si>
  <si>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</si>
  <si>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</si>
  <si>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</si>
  <si>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</si>
  <si>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</si>
  <si>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</si>
  <si>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</si>
  <si>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</si>
  <si>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</si>
  <si>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</si>
  <si>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</si>
  <si>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</si>
  <si>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</si>
  <si>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</si>
  <si>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</si>
  <si>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</si>
  <si>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</si>
  <si>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</si>
  <si>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</si>
  <si>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</si>
  <si>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</si>
  <si>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</si>
  <si>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</si>
  <si>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</si>
  <si>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</si>
  <si>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</si>
  <si>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</si>
  <si>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</si>
  <si>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</si>
  <si>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</si>
  <si>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</si>
  <si>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</si>
  <si>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</si>
  <si>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</si>
  <si>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</si>
  <si>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</si>
  <si>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</si>
  <si>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</si>
  <si>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</si>
  <si>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</si>
  <si>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</si>
  <si>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</si>
  <si>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</si>
  <si>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</si>
  <si>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</si>
  <si>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</si>
  <si>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</si>
  <si>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</si>
  <si>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</si>
  <si>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</si>
  <si>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</si>
  <si>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</si>
  <si>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</si>
  <si>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</si>
  <si>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</si>
  <si>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</si>
  <si>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</si>
  <si>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</si>
  <si>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</si>
  <si>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</si>
  <si>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</si>
  <si>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</si>
  <si>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</si>
  <si>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</si>
  <si>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</si>
  <si>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</si>
  <si>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</si>
  <si>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</si>
  <si>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</si>
  <si>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</si>
  <si>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</si>
  <si>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</si>
  <si>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</si>
  <si>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</si>
  <si>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</si>
  <si>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</si>
  <si>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</si>
  <si>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</si>
  <si>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</si>
  <si>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</si>
  <si>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</si>
  <si>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</si>
  <si>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</si>
  <si>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</si>
  <si>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</si>
  <si>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</si>
  <si>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</si>
  <si>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</si>
  <si>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</si>
  <si>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</si>
  <si>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</si>
  <si>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</si>
  <si>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</si>
  <si>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</si>
  <si>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</si>
  <si>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</si>
  <si>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</si>
  <si>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</si>
  <si>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</si>
  <si>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</si>
  <si>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</si>
  <si>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</si>
  <si>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</si>
  <si>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</si>
  <si>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</si>
  <si>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</si>
  <si>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</si>
  <si>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</si>
  <si>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</si>
  <si>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</si>
  <si>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</si>
  <si>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</si>
  <si>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</si>
  <si>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</si>
  <si>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</si>
  <si>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</si>
  <si>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</si>
  <si>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</si>
  <si>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</si>
  <si>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</si>
  <si>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</si>
  <si>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</si>
  <si>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</si>
  <si>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</si>
  <si>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</si>
  <si>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</si>
  <si>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</si>
  <si>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</si>
  <si>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</si>
  <si>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</si>
  <si>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</si>
  <si>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</si>
  <si>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</si>
  <si>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</si>
  <si>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</si>
  <si>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</si>
  <si>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</si>
  <si>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</si>
  <si>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</si>
  <si>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</si>
  <si>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</si>
  <si>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</si>
  <si>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</si>
  <si>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</si>
  <si>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</si>
  <si>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</si>
  <si>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</si>
  <si>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</si>
  <si>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</si>
  <si>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</si>
  <si>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</si>
  <si>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</si>
  <si>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</si>
  <si>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</si>
  <si>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</si>
  <si>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</si>
  <si>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</si>
  <si>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</si>
  <si>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</si>
  <si>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</si>
  <si>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</si>
  <si>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</si>
  <si>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</si>
  <si>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</si>
  <si>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</si>
  <si>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</si>
  <si>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</si>
  <si>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</si>
  <si>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</si>
  <si>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</si>
  <si>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</si>
  <si>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</si>
  <si>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</si>
  <si>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</si>
  <si>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</si>
  <si>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</si>
  <si>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</si>
  <si>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</si>
  <si>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</si>
  <si>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</si>
  <si>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</si>
  <si>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</si>
  <si>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</si>
  <si>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</si>
  <si>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</si>
  <si>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</si>
  <si>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</si>
  <si>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</si>
  <si>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</si>
  <si>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</si>
  <si>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</si>
  <si>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</si>
  <si>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</si>
  <si>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</si>
  <si>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</si>
  <si>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</si>
  <si>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</si>
  <si>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</si>
  <si>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</si>
  <si>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</si>
  <si>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</si>
  <si>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</si>
  <si>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</si>
  <si>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</si>
  <si>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</si>
  <si>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</si>
  <si>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</si>
  <si>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</si>
  <si>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</si>
  <si>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</si>
  <si>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</si>
  <si>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</si>
  <si>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</si>
  <si>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</si>
  <si>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</si>
  <si>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</si>
  <si>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</si>
  <si>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</si>
  <si>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</si>
  <si>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</si>
  <si>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</si>
  <si>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</si>
  <si>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</si>
  <si>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</si>
  <si>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</si>
  <si>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</si>
  <si>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</si>
  <si>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</si>
  <si>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</si>
  <si>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</si>
  <si>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</si>
  <si>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</si>
  <si>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</si>
  <si>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</si>
  <si>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</si>
  <si>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</si>
  <si>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</si>
  <si>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</si>
  <si>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</si>
  <si>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</si>
  <si>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</si>
  <si>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</si>
  <si>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</si>
  <si>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</si>
  <si>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</si>
  <si>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</si>
  <si>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</si>
  <si>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</si>
  <si>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</si>
  <si>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</si>
  <si>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</si>
  <si>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</si>
  <si>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</si>
  <si>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</si>
  <si>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</si>
  <si>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</si>
  <si>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</si>
  <si>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</si>
  <si>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</si>
  <si>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</si>
  <si>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</si>
  <si>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</si>
  <si>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</si>
  <si>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</si>
  <si>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</si>
  <si>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</si>
  <si>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</si>
  <si>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</si>
  <si>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</si>
  <si>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</si>
  <si>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</si>
  <si>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</si>
  <si>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</si>
  <si>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</si>
  <si>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</si>
  <si>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</si>
  <si>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</si>
  <si>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</si>
  <si>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</si>
  <si>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</si>
  <si>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</si>
  <si>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</si>
  <si>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</si>
  <si>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</si>
  <si>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</si>
  <si>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</si>
  <si>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</si>
  <si>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</si>
  <si>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</si>
  <si>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</si>
  <si>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</si>
  <si>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</si>
  <si>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</si>
  <si>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</si>
  <si>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</si>
  <si>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</si>
  <si>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</si>
  <si>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</si>
  <si>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</si>
  <si>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</si>
  <si>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</si>
  <si>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</si>
  <si>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</si>
  <si>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</si>
  <si>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</si>
  <si>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</si>
  <si>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</si>
  <si>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</si>
  <si>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</si>
  <si>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</si>
  <si>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</si>
  <si>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</si>
  <si>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</si>
  <si>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</si>
  <si>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</si>
  <si>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</si>
  <si>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</si>
  <si>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</si>
  <si>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</si>
  <si>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</si>
  <si>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</si>
  <si>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</si>
  <si>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</si>
  <si>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</si>
  <si>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</si>
  <si>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</si>
  <si>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</si>
  <si>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</si>
  <si>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</si>
  <si>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</si>
  <si>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</si>
  <si>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</si>
  <si>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</si>
  <si>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</si>
  <si>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</si>
  <si>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</si>
  <si>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</si>
  <si>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</si>
  <si>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</si>
  <si>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</si>
  <si>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</si>
  <si>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</si>
  <si>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</si>
  <si>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</si>
  <si>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</si>
  <si>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</si>
  <si>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</si>
  <si>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</si>
  <si>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</si>
  <si>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</si>
  <si>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</si>
  <si>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</si>
  <si>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</si>
  <si>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</si>
  <si>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</si>
  <si>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</si>
  <si>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</si>
  <si>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</si>
  <si>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</si>
  <si>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</si>
  <si>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</si>
  <si>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</si>
  <si>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</si>
  <si>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</si>
  <si>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</si>
  <si>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</si>
  <si>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</si>
  <si>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</si>
  <si>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</si>
  <si>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</si>
  <si>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</si>
  <si>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</si>
  <si>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</si>
  <si>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</si>
  <si>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</si>
  <si>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</si>
  <si>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</si>
  <si>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</si>
  <si>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</si>
  <si>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</si>
  <si>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</si>
  <si>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</si>
  <si>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</si>
  <si>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</si>
  <si>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</si>
  <si>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</si>
  <si>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</si>
  <si>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</si>
  <si>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</si>
  <si>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</si>
  <si>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</si>
  <si>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</si>
  <si>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</si>
  <si>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</si>
  <si>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</si>
  <si>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</si>
  <si>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</si>
  <si>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</si>
  <si>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</si>
  <si>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</si>
  <si>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</si>
  <si>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</si>
  <si>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</si>
  <si>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</si>
  <si>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</si>
  <si>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</si>
  <si>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</si>
  <si>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</si>
  <si>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</si>
  <si>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</si>
  <si>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</si>
  <si>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</si>
  <si>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</si>
  <si>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</si>
  <si>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</si>
  <si>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</si>
  <si>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</si>
  <si>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</si>
  <si>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</si>
  <si>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</si>
  <si>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</si>
  <si>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</si>
  <si>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</si>
  <si>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</si>
  <si>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</si>
  <si>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</si>
  <si>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</si>
  <si>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</si>
  <si>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</si>
  <si>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</si>
  <si>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</si>
  <si>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</si>
  <si>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</si>
  <si>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</si>
  <si>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</si>
  <si>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</si>
  <si>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</si>
  <si>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</si>
  <si>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</si>
  <si>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</si>
  <si>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</si>
  <si>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</si>
  <si>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</si>
  <si>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</si>
  <si>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</si>
  <si>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</si>
  <si>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</si>
  <si>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</si>
  <si>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</si>
  <si>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</si>
  <si>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</si>
  <si>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</si>
  <si>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</si>
  <si>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</si>
  <si>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</si>
  <si>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</si>
  <si>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</si>
  <si>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</si>
  <si>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</si>
  <si>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</si>
  <si>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</si>
  <si>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</si>
  <si>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</si>
  <si>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</si>
  <si>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</si>
  <si>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</si>
  <si>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</si>
  <si>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</si>
  <si>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</si>
  <si>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</si>
  <si>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</si>
  <si>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</si>
  <si>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</si>
  <si>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</si>
  <si>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</si>
  <si>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</si>
  <si>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</si>
  <si>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</si>
  <si>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</si>
  <si>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</si>
  <si>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</si>
  <si>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</si>
  <si>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</si>
  <si>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</si>
  <si>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</si>
  <si>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</si>
  <si>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</si>
  <si>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</si>
  <si>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</si>
  <si>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</si>
  <si>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</si>
  <si>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</si>
  <si>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</si>
  <si>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</si>
  <si>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</si>
  <si>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</si>
  <si>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</si>
  <si>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</si>
  <si>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</si>
  <si>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</si>
  <si>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</si>
  <si>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</si>
  <si>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</si>
  <si>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</si>
  <si>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</si>
  <si>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</si>
  <si>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</si>
  <si>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</si>
  <si>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</si>
  <si>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</si>
  <si>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</si>
  <si>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</si>
  <si>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</si>
  <si>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</si>
  <si>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</si>
  <si>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</si>
  <si>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</si>
  <si>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</si>
  <si>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</si>
  <si>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</si>
  <si>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</si>
  <si>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</si>
  <si>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</si>
  <si>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</si>
  <si>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</si>
  <si>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</si>
  <si>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</si>
  <si>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</si>
  <si>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</si>
  <si>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</si>
  <si>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</si>
  <si>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</si>
  <si>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</si>
  <si>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</si>
  <si>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</si>
  <si>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</si>
  <si>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</si>
  <si>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</si>
  <si>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</si>
  <si>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</si>
  <si>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</si>
  <si>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</si>
  <si>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</si>
  <si>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</si>
  <si>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</si>
  <si>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</si>
  <si>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</si>
  <si>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</si>
  <si>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</si>
  <si>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</si>
  <si>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</si>
  <si>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</si>
  <si>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</si>
  <si>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</si>
  <si>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</si>
  <si>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</si>
  <si>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</si>
  <si>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</si>
  <si>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</si>
  <si>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</si>
  <si>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</si>
  <si>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</si>
  <si>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</si>
  <si>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</si>
  <si>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</si>
  <si>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</si>
  <si>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</si>
  <si>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</si>
  <si>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</si>
  <si>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</si>
  <si>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</si>
  <si>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</si>
  <si>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</si>
  <si>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</si>
  <si>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</si>
  <si>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</si>
  <si>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</si>
  <si>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</si>
  <si>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</si>
  <si>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</si>
  <si>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</si>
  <si>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</si>
  <si>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</si>
  <si>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</si>
  <si>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</si>
  <si>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</si>
  <si>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</si>
  <si>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</si>
  <si>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</si>
  <si>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</si>
  <si>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</si>
  <si>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</si>
  <si>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</si>
  <si>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</si>
  <si>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</si>
  <si>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</si>
  <si>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</si>
  <si>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</si>
  <si>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</si>
  <si>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</si>
  <si>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</si>
  <si>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</si>
  <si>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</si>
  <si>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</si>
  <si>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</si>
  <si>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</si>
  <si>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</si>
  <si>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</si>
  <si>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</si>
  <si>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</si>
  <si>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</si>
  <si>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</si>
  <si>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</si>
  <si>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</si>
  <si>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</si>
  <si>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</si>
  <si>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</si>
  <si>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</si>
  <si>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</si>
  <si>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</si>
  <si>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</si>
  <si>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</si>
  <si>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</si>
  <si>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</si>
  <si>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</si>
  <si>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</si>
  <si>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</si>
  <si>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</si>
  <si>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</si>
  <si>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</si>
  <si>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</si>
  <si>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</si>
  <si>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</si>
  <si>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</si>
  <si>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</si>
  <si>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</si>
  <si>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</si>
  <si>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</si>
  <si>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</si>
  <si>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</si>
  <si>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</si>
  <si>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</si>
  <si>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</si>
  <si>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</si>
  <si>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</si>
  <si>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</si>
  <si>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</si>
  <si>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</si>
  <si>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</si>
  <si>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</si>
  <si>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</si>
  <si>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</si>
  <si>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</si>
  <si>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</si>
  <si>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</si>
  <si>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</si>
  <si>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</si>
  <si>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</si>
  <si>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</si>
  <si>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</si>
  <si>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</si>
  <si>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</si>
  <si>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</si>
  <si>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</si>
  <si>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</si>
  <si>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</si>
  <si>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</si>
  <si>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</si>
  <si>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</si>
  <si>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</si>
  <si>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</si>
  <si>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</si>
  <si>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</si>
  <si>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</si>
  <si>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</si>
  <si>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</si>
  <si>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</si>
  <si>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</si>
  <si>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</si>
  <si>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</si>
  <si>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</si>
  <si>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</si>
  <si>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</si>
  <si>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</si>
  <si>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</si>
  <si>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</si>
  <si>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</si>
  <si>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</si>
  <si>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</si>
  <si>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</si>
  <si>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</si>
  <si>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</si>
  <si>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</si>
  <si>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</si>
  <si>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</si>
  <si>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</si>
  <si>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</si>
  <si>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</si>
  <si>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</si>
  <si>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</si>
  <si>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</si>
  <si>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</si>
  <si>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</si>
  <si>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</si>
  <si>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</si>
  <si>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</si>
  <si>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</si>
  <si>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</si>
  <si>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</si>
  <si>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</si>
  <si>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</si>
  <si>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</si>
  <si>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</si>
  <si>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</si>
  <si>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</si>
  <si>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</si>
  <si>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</si>
  <si>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</si>
  <si>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</si>
  <si>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</si>
  <si>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</si>
  <si>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</si>
  <si>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</si>
  <si>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</si>
  <si>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</si>
  <si>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</si>
  <si>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</si>
  <si>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</si>
  <si>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</si>
  <si>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</si>
  <si>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</si>
  <si>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</si>
  <si>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</si>
  <si>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</si>
  <si>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</si>
  <si>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</si>
  <si>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</si>
  <si>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</si>
  <si>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</si>
  <si>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</si>
  <si>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</si>
  <si>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</si>
  <si>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</si>
  <si>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</si>
  <si>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</si>
  <si>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</si>
  <si>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</si>
  <si>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</si>
  <si>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</si>
  <si>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</si>
  <si>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</si>
  <si>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</si>
  <si>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</si>
  <si>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</si>
  <si>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</si>
  <si>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</si>
  <si>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</si>
  <si>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</si>
  <si>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</si>
  <si>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</si>
  <si>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</si>
  <si>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</si>
  <si>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</si>
  <si>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</si>
  <si>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</si>
  <si>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</si>
  <si>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</si>
  <si>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</si>
  <si>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</si>
  <si>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</si>
  <si>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</si>
  <si>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</si>
  <si>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</si>
  <si>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</si>
  <si>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</si>
  <si>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</si>
  <si>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</si>
  <si>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</si>
  <si>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</si>
  <si>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</si>
  <si>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</si>
  <si>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</si>
  <si>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</si>
  <si>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</si>
  <si>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</si>
  <si>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</si>
  <si>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</si>
  <si>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</si>
  <si>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</si>
  <si>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</si>
  <si>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</si>
  <si>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</si>
  <si>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</si>
  <si>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</si>
  <si>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</si>
  <si>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</si>
  <si>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</si>
  <si>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</si>
  <si>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</si>
  <si>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</si>
  <si>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</si>
  <si>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</si>
  <si>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</si>
  <si>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</si>
  <si>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</si>
  <si>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</si>
  <si>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</si>
  <si>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</si>
  <si>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</si>
  <si>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</si>
  <si>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</si>
  <si>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</si>
  <si>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</si>
  <si>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</si>
  <si>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</si>
  <si>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</si>
  <si>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</si>
  <si>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</si>
  <si>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</si>
  <si>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</si>
  <si>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</si>
  <si>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</si>
  <si>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</si>
  <si>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</si>
  <si>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</si>
  <si>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</si>
  <si>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</si>
  <si>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</si>
  <si>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</si>
  <si>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</si>
  <si>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</si>
  <si>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</si>
  <si>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</si>
  <si>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</si>
  <si>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</si>
  <si>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</si>
  <si>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</si>
  <si>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</si>
  <si>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</si>
  <si>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</si>
  <si>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</si>
  <si>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</si>
  <si>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</si>
  <si>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</si>
  <si>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</si>
  <si>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</si>
  <si>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</si>
  <si>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</si>
  <si>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</si>
  <si>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</si>
  <si>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</si>
  <si>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</si>
  <si>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</si>
  <si>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</si>
  <si>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</si>
  <si>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</si>
  <si>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</si>
  <si>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</si>
  <si>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</si>
  <si>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</si>
  <si>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</si>
  <si>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</si>
  <si>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</si>
  <si>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</si>
  <si>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</si>
  <si>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</si>
  <si>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</si>
  <si>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</si>
  <si>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</si>
  <si>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</si>
  <si>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</si>
  <si>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</si>
  <si>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</si>
  <si>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</si>
  <si>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</si>
  <si>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</si>
  <si>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</si>
  <si>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</si>
  <si>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</si>
  <si>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</si>
  <si>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</si>
  <si>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</si>
  <si>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</si>
  <si>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</si>
  <si>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</si>
  <si>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</si>
  <si>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</si>
  <si>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</si>
  <si>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</si>
  <si>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</si>
  <si>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</si>
  <si>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</si>
  <si>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</si>
  <si>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</si>
  <si>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</si>
  <si>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</si>
  <si>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</si>
  <si>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</si>
  <si>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</si>
  <si>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</si>
  <si>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</si>
  <si>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</si>
  <si>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</si>
  <si>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</si>
  <si>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</si>
  <si>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</si>
  <si>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</si>
  <si>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</si>
  <si>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</si>
  <si>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</si>
  <si>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</si>
  <si>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</si>
  <si>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</si>
  <si>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</si>
  <si>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</si>
  <si>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</si>
  <si>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</si>
  <si>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</si>
  <si>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</si>
  <si>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</si>
  <si>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</si>
  <si>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</si>
  <si>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</si>
  <si>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</si>
  <si>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</si>
  <si>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</si>
  <si>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</si>
  <si>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</si>
  <si>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</si>
  <si>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</si>
  <si>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</si>
  <si>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</si>
  <si>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</si>
  <si>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</si>
  <si>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</si>
  <si>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</si>
  <si>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</si>
  <si>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</si>
  <si>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</si>
  <si>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</si>
  <si>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</si>
  <si>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</si>
  <si>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</si>
  <si>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</si>
  <si>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</si>
  <si>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</si>
  <si>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</si>
  <si>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</si>
  <si>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</si>
  <si>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</si>
  <si>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</si>
  <si>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</si>
  <si>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</si>
  <si>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</si>
  <si>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</si>
  <si>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</si>
  <si>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</si>
  <si>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</si>
  <si>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</si>
  <si>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</si>
  <si>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</si>
  <si>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</si>
  <si>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</si>
  <si>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</si>
  <si>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</si>
  <si>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</si>
  <si>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</si>
  <si>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</si>
  <si>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</si>
  <si>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</si>
  <si>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</si>
  <si>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</si>
  <si>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</si>
  <si>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</si>
  <si>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</si>
  <si>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</si>
  <si>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</si>
  <si>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</si>
  <si>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</si>
  <si>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</si>
  <si>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</si>
  <si>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</si>
  <si>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</si>
  <si>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</si>
  <si>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</si>
  <si>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</si>
  <si>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</si>
  <si>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</si>
  <si>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</si>
  <si>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</si>
  <si>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</si>
  <si>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</si>
  <si>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</si>
  <si>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</si>
  <si>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</si>
  <si>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</si>
  <si>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</si>
  <si>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</si>
  <si>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</si>
  <si>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</si>
  <si>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</si>
  <si>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</si>
  <si>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</si>
  <si>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</si>
  <si>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</si>
  <si>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</si>
  <si>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</si>
  <si>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</si>
  <si>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</si>
  <si>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</si>
  <si>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</si>
  <si>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</si>
  <si>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</si>
  <si>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</si>
  <si>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</si>
  <si>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</si>
  <si>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</si>
  <si>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</si>
  <si>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</si>
  <si>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</si>
  <si>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</si>
  <si>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</si>
  <si>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</si>
  <si>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</si>
  <si>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</si>
  <si>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</si>
  <si>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</si>
  <si>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</si>
  <si>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</si>
  <si>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</si>
  <si>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</si>
  <si>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</si>
  <si>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</si>
  <si>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</si>
  <si>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</si>
  <si>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</si>
  <si>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</si>
  <si>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</si>
  <si>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</si>
  <si>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</si>
  <si>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</si>
  <si>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</si>
  <si>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</si>
  <si>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</si>
  <si>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</si>
  <si>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</si>
  <si>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</si>
  <si>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</si>
  <si>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</si>
  <si>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</si>
  <si>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</si>
  <si>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</si>
  <si>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</si>
  <si>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</si>
  <si>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</si>
  <si>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</si>
  <si>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</si>
  <si>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</si>
  <si>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</si>
  <si>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</si>
  <si>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</si>
  <si>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</si>
  <si>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</si>
  <si>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</si>
  <si>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</si>
  <si>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</si>
  <si>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</si>
  <si>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</si>
  <si>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</si>
  <si>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</si>
  <si>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</si>
  <si>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</si>
  <si>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</si>
  <si>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</si>
  <si>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</si>
  <si>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</si>
  <si>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</si>
  <si>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</si>
  <si>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</si>
  <si>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</si>
  <si>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</si>
  <si>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</si>
  <si>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</si>
  <si>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</si>
  <si>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</si>
  <si>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</si>
  <si>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</si>
  <si>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</si>
  <si>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</si>
  <si>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</si>
  <si>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</si>
  <si>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</si>
  <si>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</si>
  <si>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</si>
  <si>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</si>
  <si>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</si>
  <si>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</si>
  <si>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</si>
  <si>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</si>
  <si>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</si>
  <si>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</si>
  <si>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</si>
  <si>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</si>
  <si>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</si>
  <si>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</si>
  <si>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</si>
  <si>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</si>
  <si>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</si>
  <si>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</si>
  <si>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</si>
  <si>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</si>
  <si>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</si>
  <si>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</si>
  <si>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</si>
  <si>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</si>
  <si>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</si>
  <si>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</si>
  <si>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</si>
  <si>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</si>
  <si>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</si>
  <si>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</si>
  <si>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</si>
  <si>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</si>
  <si>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</si>
  <si>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</si>
  <si>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</si>
  <si>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</si>
  <si>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</si>
  <si>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</si>
  <si>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</si>
  <si>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</si>
  <si>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</si>
  <si>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</si>
  <si>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</si>
  <si>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</si>
  <si>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</si>
  <si>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</si>
  <si>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</si>
  <si>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</si>
  <si>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</si>
  <si>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</si>
  <si>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</si>
  <si>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</si>
  <si>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</si>
  <si>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</si>
  <si>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</si>
  <si>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</si>
  <si>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</si>
  <si>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</si>
  <si>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</si>
  <si>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</si>
  <si>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</si>
  <si>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</si>
  <si>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</si>
  <si>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</si>
  <si>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</si>
  <si>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</si>
  <si>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</si>
  <si>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</si>
  <si>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</si>
  <si>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</si>
  <si>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</si>
  <si>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</si>
  <si>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</si>
  <si>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</si>
  <si>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</si>
  <si>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</si>
  <si>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</si>
  <si>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</si>
  <si>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</si>
  <si>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</si>
  <si>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</si>
  <si>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</si>
  <si>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</si>
  <si>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</si>
  <si>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</si>
  <si>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</si>
  <si>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</si>
  <si>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</si>
  <si>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</si>
  <si>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</si>
  <si>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</si>
  <si>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</si>
  <si>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</si>
  <si>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</si>
  <si>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</si>
  <si>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</si>
  <si>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</si>
  <si>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</si>
  <si>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</si>
  <si>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</si>
  <si>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</si>
  <si>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</si>
  <si>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</si>
  <si>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</si>
  <si>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</si>
  <si>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</si>
  <si>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</si>
  <si>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</si>
  <si>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</si>
  <si>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</si>
  <si>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</si>
  <si>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</si>
  <si>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</si>
  <si>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</si>
  <si>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</si>
  <si>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</si>
  <si>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</si>
  <si>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</si>
  <si>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</si>
  <si>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</si>
  <si>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</si>
  <si>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</si>
  <si>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</si>
  <si>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</si>
  <si>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</si>
  <si>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</si>
  <si>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</si>
  <si>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</si>
  <si>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</si>
  <si>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</si>
  <si>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</si>
  <si>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</si>
  <si>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</si>
  <si>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</si>
  <si>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</si>
  <si>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</si>
  <si>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</si>
  <si>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</si>
  <si>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</si>
  <si>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</si>
  <si>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</si>
  <si>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</si>
  <si>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</si>
  <si>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</si>
  <si>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</si>
  <si>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</si>
  <si>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</si>
  <si>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</si>
  <si>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</si>
  <si>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</si>
  <si>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</si>
  <si>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</si>
  <si>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</si>
  <si>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</si>
  <si>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</si>
  <si>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</si>
  <si>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</si>
  <si>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</si>
  <si>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</si>
  <si>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</si>
  <si>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</si>
  <si>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</si>
  <si>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</si>
  <si>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</si>
  <si>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</si>
  <si>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</si>
  <si>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</si>
  <si>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</si>
  <si>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</si>
  <si>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</si>
  <si>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</si>
  <si>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</si>
  <si>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</si>
  <si>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</si>
  <si>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</si>
  <si>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</si>
  <si>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</si>
  <si>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</si>
  <si>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</si>
  <si>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</si>
  <si>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</si>
  <si>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</si>
  <si>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</si>
  <si>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</si>
  <si>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</si>
  <si>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</si>
  <si>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</si>
  <si>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</si>
  <si>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</si>
  <si>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</si>
  <si>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</si>
  <si>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</si>
  <si>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</si>
  <si>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</si>
  <si>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</si>
  <si>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</si>
  <si>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</si>
  <si>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</si>
  <si>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</si>
  <si>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</si>
  <si>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</si>
  <si>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</si>
  <si>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</si>
  <si>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</si>
  <si>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</si>
  <si>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</si>
  <si>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</si>
  <si>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</si>
  <si>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</si>
  <si>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</si>
  <si>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</si>
  <si>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</si>
  <si>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</si>
  <si>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</si>
  <si>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</si>
  <si>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</si>
  <si>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</si>
  <si>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</si>
  <si>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</si>
  <si>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</si>
  <si>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</si>
  <si>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</si>
  <si>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</si>
  <si>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</si>
  <si>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</si>
  <si>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</si>
  <si>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</si>
  <si>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</si>
  <si>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</si>
  <si>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</si>
  <si>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</si>
  <si>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</si>
  <si>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</si>
  <si>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</si>
  <si>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</si>
  <si>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</si>
  <si>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</si>
  <si>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</si>
  <si>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</si>
  <si>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</si>
  <si>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</si>
  <si>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</si>
  <si>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</si>
  <si>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</si>
  <si>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</si>
  <si>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</si>
  <si>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</si>
  <si>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</si>
  <si>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</si>
  <si>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</si>
  <si>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</si>
  <si>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</si>
  <si>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</si>
  <si>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</si>
  <si>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</si>
  <si>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</si>
  <si>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</si>
  <si>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</si>
  <si>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</si>
  <si>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</si>
  <si>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</si>
  <si>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</si>
  <si>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</si>
  <si>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</si>
  <si>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</si>
  <si>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</si>
  <si>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</si>
  <si>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</si>
  <si>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</si>
  <si>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</si>
  <si>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</si>
  <si>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</si>
  <si>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</si>
  <si>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</si>
  <si>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</si>
  <si>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</si>
  <si>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</si>
  <si>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</si>
  <si>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</si>
  <si>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</si>
  <si>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</si>
  <si>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</si>
  <si>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</si>
  <si>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</si>
  <si>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</si>
  <si>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</si>
  <si>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</si>
  <si>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</si>
  <si>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</si>
  <si>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</si>
  <si>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</si>
  <si>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</si>
  <si>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</si>
  <si>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</si>
  <si>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</si>
  <si>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</si>
  <si>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</si>
  <si>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</si>
  <si>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</si>
  <si>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</si>
  <si>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</si>
  <si>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</si>
  <si>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</si>
  <si>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</si>
  <si>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</si>
  <si>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</si>
  <si>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</si>
  <si>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</si>
  <si>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</si>
  <si>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</si>
  <si>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</si>
  <si>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</si>
  <si>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</si>
  <si>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</si>
  <si>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</si>
  <si>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</si>
  <si>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</si>
  <si>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</si>
  <si>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</si>
  <si>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</si>
  <si>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</si>
  <si>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</si>
  <si>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</si>
  <si>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</si>
  <si>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</si>
  <si>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</si>
  <si>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</si>
  <si>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</si>
  <si>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</si>
  <si>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</si>
  <si>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</si>
  <si>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</si>
  <si>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</si>
  <si>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</si>
  <si>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</si>
  <si>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</si>
  <si>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</si>
  <si>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</si>
  <si>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</si>
  <si>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</si>
  <si>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</si>
  <si>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</si>
  <si>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</si>
  <si>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</si>
  <si>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</si>
  <si>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</si>
  <si>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</si>
  <si>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</si>
  <si>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</si>
  <si>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</si>
  <si>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</si>
  <si>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</si>
  <si>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</si>
  <si>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</si>
  <si>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</si>
  <si>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</si>
  <si>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</si>
  <si>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</si>
  <si>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</si>
  <si>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</si>
  <si>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</si>
  <si>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</si>
  <si>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</si>
  <si>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</si>
  <si>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</si>
  <si>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</si>
  <si>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</si>
  <si>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</si>
  <si>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</si>
  <si>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</si>
  <si>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</si>
  <si>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</si>
  <si>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</si>
  <si>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</si>
  <si>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</si>
  <si>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</si>
  <si>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</si>
  <si>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</si>
  <si>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</si>
  <si>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</si>
  <si>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</si>
  <si>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</si>
  <si>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</si>
  <si>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</si>
  <si>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</si>
  <si>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</si>
  <si>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</si>
  <si>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</si>
  <si>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</si>
  <si>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</si>
  <si>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</si>
  <si>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</si>
  <si>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</si>
  <si>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</si>
  <si>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</si>
  <si>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</si>
  <si>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</si>
  <si>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</si>
  <si>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</si>
  <si>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</si>
  <si>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</si>
  <si>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</si>
  <si>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</si>
  <si>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</si>
  <si>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</si>
  <si>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</si>
  <si>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</si>
  <si>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</si>
  <si>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</si>
  <si>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</si>
  <si>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</si>
  <si>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</si>
  <si>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</si>
  <si>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</si>
  <si>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</si>
  <si>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</si>
  <si>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</si>
  <si>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</si>
  <si>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</si>
  <si>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</si>
  <si>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</si>
  <si>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</si>
  <si>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</si>
  <si>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</si>
  <si>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</si>
  <si>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</si>
  <si>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</si>
  <si>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</si>
  <si>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</si>
  <si>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</si>
  <si>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</si>
  <si>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</si>
  <si>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</si>
  <si>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</si>
  <si>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</si>
  <si>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</si>
  <si>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</si>
  <si>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</si>
  <si>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</si>
  <si>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</si>
  <si>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</si>
  <si>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</si>
  <si>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</si>
  <si>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</si>
  <si>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</si>
  <si>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</si>
  <si>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</si>
  <si>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</si>
  <si>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</si>
  <si>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</si>
  <si>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</si>
  <si>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</si>
  <si>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</si>
  <si>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</si>
  <si>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</si>
  <si>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</si>
  <si>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</si>
  <si>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</si>
  <si>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</si>
  <si>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</si>
  <si>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</si>
  <si>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</si>
  <si>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</si>
  <si>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</si>
  <si>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</si>
  <si>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</si>
  <si>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</si>
  <si>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</si>
  <si>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</si>
  <si>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</si>
  <si>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</si>
  <si>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</si>
  <si>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</si>
  <si>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</si>
  <si>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</si>
  <si>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</si>
  <si>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</si>
  <si>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</si>
  <si>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</si>
  <si>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</si>
  <si>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</si>
  <si>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</si>
  <si>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</si>
  <si>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</si>
  <si>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</si>
  <si>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</si>
  <si>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</si>
  <si>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</si>
  <si>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</si>
  <si>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</si>
  <si>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</si>
  <si>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</si>
  <si>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</si>
  <si>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</si>
  <si>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</si>
  <si>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</si>
  <si>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</si>
  <si>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</si>
  <si>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</si>
  <si>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</si>
  <si>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</si>
  <si>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</si>
  <si>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</si>
  <si>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</si>
  <si>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</si>
  <si>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</si>
  <si>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</si>
  <si>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</si>
  <si>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</si>
  <si>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</si>
  <si>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</si>
  <si>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</si>
  <si>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</si>
  <si>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</si>
  <si>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</si>
  <si>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</si>
  <si>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</si>
  <si>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</si>
  <si>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</si>
  <si>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</si>
  <si>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</si>
  <si>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</si>
  <si>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</si>
  <si>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</si>
  <si>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</si>
  <si>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</si>
  <si>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</si>
  <si>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</si>
  <si>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</si>
  <si>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</si>
  <si>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</si>
  <si>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</si>
  <si>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</si>
  <si>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</si>
  <si>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</si>
  <si>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</si>
  <si>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</si>
  <si>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</si>
  <si>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</si>
  <si>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</si>
  <si>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</si>
  <si>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</si>
  <si>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</si>
  <si>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</si>
  <si>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</si>
  <si>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</si>
  <si>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</si>
  <si>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</si>
  <si>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</si>
  <si>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</si>
  <si>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</si>
  <si>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</si>
  <si>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</si>
  <si>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</si>
  <si>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</si>
  <si>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</si>
  <si>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</si>
  <si>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</si>
  <si>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</si>
  <si>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</si>
  <si>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</si>
  <si>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</si>
  <si>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</si>
  <si>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</si>
  <si>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</si>
  <si>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</si>
  <si>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</si>
  <si>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</si>
  <si>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</si>
  <si>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</si>
  <si>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</si>
  <si>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</si>
  <si>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</si>
  <si>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</si>
  <si>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</si>
  <si>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</si>
  <si>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</si>
  <si>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</si>
  <si>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</si>
  <si>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</si>
  <si>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</si>
  <si>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</si>
  <si>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</si>
  <si>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</si>
  <si>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</si>
  <si>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</si>
  <si>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</si>
  <si>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</si>
  <si>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</si>
  <si>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</si>
  <si>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</si>
  <si>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</si>
  <si>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</si>
  <si>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</si>
  <si>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</si>
  <si>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</si>
  <si>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</si>
  <si>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</si>
  <si>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</si>
  <si>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</si>
  <si>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</si>
  <si>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</si>
  <si>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</si>
  <si>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</si>
  <si>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</si>
  <si>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</si>
  <si>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</si>
  <si>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</si>
  <si>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</si>
  <si>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</si>
  <si>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</si>
  <si>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</si>
  <si>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</si>
  <si>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</si>
  <si>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</si>
  <si>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</si>
  <si>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</si>
  <si>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</si>
  <si>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</si>
  <si>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</si>
  <si>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</si>
  <si>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</si>
  <si>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</si>
  <si>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</si>
  <si>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</si>
  <si>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</si>
  <si>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</si>
  <si>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</si>
  <si>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</si>
  <si>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</si>
  <si>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</si>
  <si>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</si>
  <si>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</si>
  <si>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</si>
  <si>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</si>
  <si>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</si>
  <si>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</si>
  <si>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</si>
  <si>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</si>
  <si>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</si>
  <si>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</si>
  <si>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</si>
  <si>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</si>
  <si>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</si>
  <si>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</si>
  <si>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</si>
  <si>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</si>
  <si>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</si>
  <si>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</si>
  <si>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</si>
  <si>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</si>
  <si>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</si>
  <si>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</si>
  <si>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</si>
  <si>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</si>
  <si>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</si>
  <si>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</si>
  <si>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</si>
  <si>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</si>
  <si>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</si>
  <si>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</si>
  <si>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</si>
  <si>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</si>
  <si>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</si>
  <si>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</si>
  <si>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</si>
  <si>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</si>
  <si>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</si>
  <si>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</si>
  <si>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</si>
  <si>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</si>
  <si>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</si>
  <si>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</si>
  <si>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</si>
  <si>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</si>
  <si>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</si>
  <si>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</si>
  <si>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</si>
  <si>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</si>
  <si>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</si>
  <si>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</si>
  <si>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</si>
  <si>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</si>
  <si>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</si>
  <si>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</si>
  <si>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</si>
  <si>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</si>
  <si>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</si>
  <si>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</si>
  <si>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</si>
  <si>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</si>
  <si>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</si>
  <si>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</si>
  <si>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</si>
  <si>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</si>
  <si>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</si>
  <si>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</si>
  <si>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</si>
  <si>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</si>
  <si>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</si>
  <si>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</si>
  <si>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</si>
  <si>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</si>
  <si>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</si>
  <si>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</si>
  <si>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</si>
  <si>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</si>
  <si>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</si>
  <si>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</si>
  <si>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</si>
  <si>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</si>
  <si>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</si>
  <si>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</si>
  <si>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</si>
  <si>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</si>
  <si>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</si>
  <si>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</si>
  <si>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</si>
  <si>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</si>
  <si>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</si>
  <si>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</si>
  <si>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</si>
  <si>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</si>
  <si>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</si>
  <si>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</si>
  <si>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</si>
  <si>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</si>
  <si>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</si>
  <si>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</si>
  <si>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</si>
  <si>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</si>
  <si>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</si>
  <si>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</si>
  <si>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</si>
  <si>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</si>
  <si>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</si>
  <si>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</si>
  <si>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</si>
  <si>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</si>
  <si>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</si>
  <si>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</si>
  <si>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</si>
  <si>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</si>
  <si>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</si>
  <si>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</si>
  <si>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</si>
  <si>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</si>
  <si>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</si>
  <si>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</si>
  <si>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</si>
  <si>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</si>
  <si>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</si>
  <si>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</si>
  <si>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</si>
  <si>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</si>
  <si>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</si>
  <si>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</si>
  <si>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</si>
  <si>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</si>
  <si>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</si>
  <si>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</si>
  <si>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</si>
  <si>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</si>
  <si>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</si>
  <si>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</si>
  <si>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</si>
  <si>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</si>
  <si>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</si>
  <si>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</si>
  <si>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</si>
  <si>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</si>
  <si>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</si>
  <si>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</si>
  <si>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</si>
  <si>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</si>
  <si>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</si>
  <si>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</si>
  <si>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</si>
  <si>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</si>
  <si>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</si>
  <si>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</si>
  <si>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</si>
  <si>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</si>
  <si>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</si>
  <si>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</si>
  <si>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</si>
  <si>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</si>
  <si>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</si>
  <si>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</si>
  <si>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</si>
  <si>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</si>
  <si>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</si>
  <si>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</si>
  <si>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</si>
  <si>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</si>
  <si>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</si>
  <si>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</si>
  <si>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</si>
  <si>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</si>
  <si>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</si>
  <si>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</si>
  <si>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</si>
  <si>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</si>
  <si>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</si>
  <si>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</si>
  <si>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</si>
  <si>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</si>
  <si>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</si>
  <si>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</si>
  <si>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</si>
  <si>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</si>
  <si>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</si>
  <si>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</si>
  <si>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</si>
  <si>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</si>
  <si>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</si>
  <si>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</si>
  <si>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</si>
  <si>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</si>
  <si>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</si>
  <si>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</si>
  <si>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</si>
  <si>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</si>
  <si>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</si>
  <si>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</si>
  <si>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</si>
  <si>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</si>
  <si>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</si>
  <si>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</si>
  <si>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</si>
  <si>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</si>
  <si>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</si>
  <si>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</si>
  <si>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</si>
  <si>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</si>
  <si>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</si>
  <si>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</si>
  <si>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</si>
  <si>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</si>
  <si>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</si>
  <si>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</si>
  <si>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</si>
  <si>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</si>
  <si>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</si>
  <si>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</si>
  <si>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</si>
  <si>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</si>
  <si>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</si>
  <si>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</si>
  <si>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</si>
  <si>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</si>
  <si>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</si>
  <si>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</si>
  <si>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</si>
  <si>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</si>
  <si>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</si>
  <si>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</si>
  <si>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</si>
  <si>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</si>
  <si>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</si>
  <si>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</si>
  <si>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</si>
  <si>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</si>
  <si>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</si>
  <si>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</si>
  <si>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</si>
  <si>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</si>
  <si>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</si>
  <si>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</si>
  <si>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</si>
  <si>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</si>
  <si>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</si>
  <si>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</si>
  <si>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</si>
  <si>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</si>
  <si>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</si>
  <si>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</si>
  <si>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</si>
  <si>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</si>
  <si>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</si>
  <si>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</si>
  <si>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</si>
  <si>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</si>
  <si>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</si>
  <si>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</si>
  <si>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</si>
  <si>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</si>
  <si>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</si>
  <si>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</si>
  <si>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</si>
  <si>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</si>
  <si>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</si>
  <si>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</si>
  <si>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</si>
  <si>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</si>
  <si>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</si>
  <si>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</si>
  <si>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</si>
  <si>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</si>
  <si>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</si>
  <si>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</si>
  <si>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</si>
  <si>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</si>
  <si>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</si>
  <si>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</si>
  <si>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</si>
  <si>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</si>
  <si>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</si>
  <si>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</si>
  <si>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</si>
  <si>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</si>
  <si>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</si>
  <si>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</si>
  <si>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</si>
  <si>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</si>
  <si>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</si>
  <si>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</si>
  <si>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</si>
  <si>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</si>
  <si>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</si>
  <si>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</si>
  <si>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</si>
  <si>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</si>
  <si>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</si>
  <si>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</si>
  <si>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</si>
  <si>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</si>
  <si>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</si>
  <si>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</si>
  <si>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</si>
  <si>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</si>
  <si>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</si>
  <si>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</si>
  <si>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</si>
  <si>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</si>
  <si>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</si>
  <si>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</si>
  <si>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</si>
  <si>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</si>
  <si>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</si>
  <si>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</si>
  <si>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</si>
  <si>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</si>
  <si>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</si>
  <si>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</si>
  <si>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</si>
  <si>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</si>
  <si>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</si>
  <si>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</si>
  <si>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</si>
  <si>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</si>
  <si>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</si>
  <si>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</si>
  <si>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</si>
  <si>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</si>
  <si>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</si>
  <si>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</si>
  <si>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</si>
  <si>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</si>
  <si>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</si>
  <si>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</si>
  <si>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</si>
  <si>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</si>
  <si>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</si>
  <si>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</si>
  <si>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</si>
  <si>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</si>
  <si>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</si>
  <si>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</si>
  <si>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</si>
  <si>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</si>
  <si>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</si>
  <si>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</si>
  <si>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</si>
  <si>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</si>
  <si>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</si>
  <si>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</si>
  <si>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</si>
  <si>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</si>
  <si>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</si>
  <si>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</si>
  <si>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</si>
  <si>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</si>
  <si>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</si>
  <si>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</si>
  <si>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</si>
  <si>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</si>
  <si>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</si>
  <si>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</si>
  <si>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</si>
  <si>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</si>
  <si>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</si>
  <si>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</si>
  <si>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</si>
  <si>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</si>
  <si>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</si>
  <si>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</si>
  <si>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</si>
  <si>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</si>
  <si>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</si>
  <si>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</si>
  <si>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</si>
  <si>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</si>
  <si>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</si>
  <si>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</si>
  <si>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</si>
  <si>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</si>
  <si>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</si>
  <si>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</si>
  <si>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</si>
  <si>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</si>
  <si>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</si>
  <si>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</si>
  <si>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</si>
  <si>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</si>
  <si>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</si>
  <si>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</si>
  <si>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</si>
  <si>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</si>
  <si>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</si>
  <si>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</si>
  <si>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</si>
  <si>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</si>
  <si>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</si>
  <si>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</si>
  <si>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</si>
  <si>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</si>
  <si>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</si>
  <si>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</si>
  <si>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</si>
  <si>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</si>
  <si>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</si>
  <si>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</si>
  <si>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</si>
  <si>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</si>
  <si>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</si>
  <si>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</si>
  <si>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</si>
  <si>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</si>
  <si>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</si>
  <si>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</si>
  <si>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</si>
  <si>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</si>
  <si>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</si>
  <si>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</si>
  <si>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</si>
  <si>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</si>
  <si>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</si>
  <si>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</si>
  <si>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</si>
  <si>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</si>
  <si>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</si>
  <si>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</si>
  <si>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</si>
  <si>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</si>
  <si>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</si>
  <si>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</si>
  <si>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</si>
  <si>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</si>
  <si>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</si>
  <si>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</si>
  <si>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</si>
  <si>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</si>
  <si>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</si>
  <si>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</si>
  <si>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</si>
  <si>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</si>
  <si>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</si>
  <si>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</si>
  <si>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</si>
  <si>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</si>
  <si>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</si>
  <si>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</si>
  <si>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</si>
  <si>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</si>
  <si>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</si>
  <si>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</si>
  <si>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</si>
  <si>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</si>
  <si>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</si>
  <si>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</si>
  <si>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</si>
  <si>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</si>
  <si>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</si>
  <si>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</si>
  <si>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</si>
  <si>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</si>
  <si>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</si>
  <si>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</si>
  <si>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</si>
  <si>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</si>
  <si>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</si>
  <si>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</si>
  <si>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</si>
  <si>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</si>
  <si>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</si>
  <si>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</si>
  <si>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</si>
  <si>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</si>
  <si>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</si>
  <si>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</si>
  <si>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</si>
  <si>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</si>
  <si>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</si>
  <si>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</si>
  <si>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</si>
  <si>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</si>
  <si>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</si>
  <si>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</si>
  <si>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</si>
  <si>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</si>
  <si>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</si>
  <si>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</si>
  <si>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</si>
  <si>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</si>
  <si>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</si>
  <si>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</si>
  <si>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</si>
  <si>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</si>
  <si>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</si>
  <si>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</si>
  <si>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</si>
  <si>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</si>
  <si>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</si>
  <si>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</si>
  <si>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</si>
  <si>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</si>
  <si>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</si>
  <si>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</si>
  <si>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</si>
  <si>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</si>
  <si>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</si>
  <si>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</si>
  <si>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</si>
  <si>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</si>
  <si>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</si>
  <si>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</si>
  <si>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</si>
  <si>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</si>
  <si>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</si>
  <si>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</si>
  <si>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</si>
  <si>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</si>
  <si>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</si>
  <si>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</si>
  <si>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</si>
  <si>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</si>
  <si>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</si>
  <si>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</si>
  <si>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</si>
  <si>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</si>
  <si>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</si>
  <si>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</si>
  <si>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</si>
  <si>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</si>
  <si>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</si>
  <si>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</si>
  <si>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</si>
  <si>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</si>
  <si>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</si>
  <si>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</si>
  <si>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</si>
  <si>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</si>
  <si>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</si>
  <si>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</si>
  <si>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</si>
  <si>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</si>
  <si>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</si>
  <si>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</si>
  <si>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</si>
  <si>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</si>
  <si>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</si>
  <si>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</si>
  <si>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</si>
  <si>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</si>
  <si>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</si>
  <si>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</si>
  <si>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</si>
  <si>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</si>
  <si>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</si>
  <si>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</si>
  <si>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</si>
  <si>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</si>
  <si>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</si>
  <si>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</si>
  <si>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</si>
  <si>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</si>
  <si>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</si>
  <si>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</si>
  <si>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</si>
  <si>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</si>
  <si>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</si>
  <si>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</si>
  <si>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</si>
  <si>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</si>
  <si>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</si>
  <si>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</si>
  <si>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</si>
  <si>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</si>
  <si>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</si>
  <si>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</si>
  <si>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</si>
  <si>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</si>
  <si>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</si>
  <si>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</si>
  <si>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</si>
  <si>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</si>
  <si>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</si>
  <si>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</si>
  <si>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</si>
  <si>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</si>
  <si>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</si>
  <si>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</si>
  <si>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</si>
  <si>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</si>
  <si>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</si>
  <si>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</si>
  <si>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</si>
  <si>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</si>
  <si>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</si>
  <si>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</si>
  <si>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</si>
  <si>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</si>
  <si>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</si>
  <si>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</si>
  <si>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</si>
  <si>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</si>
  <si>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</si>
  <si>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</si>
  <si>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</si>
  <si>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</si>
  <si>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</si>
  <si>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</si>
  <si>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</si>
  <si>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</si>
  <si>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</si>
  <si>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</si>
  <si>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</si>
  <si>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</si>
  <si>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</si>
  <si>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</si>
  <si>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</si>
  <si>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</si>
  <si>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</si>
  <si>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</si>
  <si>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</si>
  <si>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</si>
  <si>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</si>
  <si>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</si>
  <si>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</si>
  <si>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</si>
  <si>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</si>
  <si>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</si>
  <si>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</si>
  <si>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</si>
  <si>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</si>
  <si>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</si>
  <si>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</si>
  <si>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</si>
  <si>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</si>
  <si>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</si>
  <si>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</si>
  <si>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</si>
  <si>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</si>
  <si>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</si>
  <si>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</si>
  <si>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</si>
  <si>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</si>
  <si>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</si>
  <si>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</si>
  <si>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</si>
  <si>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</si>
  <si>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</si>
  <si>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</si>
  <si>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</si>
  <si>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</si>
  <si>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</si>
  <si>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</si>
  <si>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</si>
  <si>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</si>
  <si>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</si>
  <si>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</si>
  <si>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</si>
  <si>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</si>
  <si>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</si>
  <si>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</si>
  <si>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</si>
  <si>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</si>
  <si>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</si>
  <si>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</si>
  <si>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</si>
  <si>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</si>
  <si>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</si>
  <si>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</si>
  <si>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</si>
  <si>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</si>
  <si>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</si>
  <si>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</si>
  <si>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</si>
  <si>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</si>
  <si>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</si>
  <si>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</si>
  <si>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</si>
  <si>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</si>
  <si>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</si>
  <si>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</si>
  <si>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</si>
  <si>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</si>
  <si>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</si>
  <si>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</si>
  <si>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</si>
  <si>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</si>
  <si>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</si>
  <si>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</si>
  <si>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</si>
  <si>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</si>
  <si>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</si>
  <si>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</si>
  <si>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</si>
  <si>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</si>
  <si>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</si>
  <si>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</si>
  <si>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</si>
  <si>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</si>
  <si>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</si>
  <si>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</si>
  <si>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</si>
  <si>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</si>
  <si>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</si>
  <si>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</si>
  <si>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</si>
  <si>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</si>
  <si>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</si>
  <si>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</si>
  <si>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</si>
  <si>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</si>
  <si>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</si>
  <si>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</si>
  <si>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</si>
  <si>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</si>
  <si>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</si>
  <si>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</si>
  <si>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</si>
  <si>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</si>
  <si>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</si>
  <si>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</si>
  <si>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</si>
  <si>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</si>
  <si>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</si>
  <si>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</si>
  <si>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</si>
  <si>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</si>
  <si>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</si>
  <si>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</si>
  <si>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</si>
  <si>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</si>
  <si>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</si>
  <si>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</si>
  <si>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</si>
  <si>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</si>
  <si>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</si>
  <si>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</si>
  <si>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</si>
  <si>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</si>
  <si>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</si>
  <si>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</si>
  <si>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</si>
  <si>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</si>
  <si>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</si>
  <si>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</si>
  <si>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</si>
  <si>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</si>
  <si>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</si>
  <si>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</si>
  <si>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</si>
  <si>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</si>
  <si>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</si>
  <si>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</si>
  <si>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</si>
  <si>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</si>
  <si>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</si>
  <si>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</si>
  <si>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</si>
  <si>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</si>
  <si>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</si>
  <si>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</si>
  <si>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</si>
  <si>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</si>
  <si>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</si>
  <si>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</si>
  <si>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</si>
  <si>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</si>
  <si>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</si>
  <si>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</si>
  <si>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</si>
  <si>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</si>
  <si>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</si>
  <si>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</si>
  <si>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</si>
  <si>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</si>
  <si>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</si>
  <si>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</si>
  <si>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</si>
  <si>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</si>
  <si>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</si>
  <si>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</si>
  <si>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</si>
  <si>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</si>
  <si>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</si>
  <si>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</si>
  <si>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</si>
  <si>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</si>
  <si>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</si>
  <si>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</si>
  <si>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</si>
  <si>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</si>
  <si>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</si>
  <si>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</si>
  <si>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</si>
  <si>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</si>
  <si>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</si>
  <si>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</si>
  <si>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</si>
  <si>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</si>
  <si>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</si>
  <si>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</si>
  <si>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</si>
  <si>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</si>
  <si>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</si>
  <si>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</si>
  <si>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</si>
  <si>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</si>
  <si>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</si>
  <si>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</si>
  <si>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</si>
  <si>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</si>
  <si>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</si>
  <si>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</si>
  <si>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</si>
  <si>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</si>
  <si>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</si>
  <si>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</si>
  <si>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</si>
  <si>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</si>
  <si>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</si>
  <si>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</si>
  <si>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</si>
  <si>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</si>
  <si>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</si>
  <si>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</si>
  <si>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</si>
  <si>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</si>
  <si>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</si>
  <si>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</si>
  <si>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</si>
  <si>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</si>
  <si>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</si>
  <si>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</si>
  <si>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</si>
  <si>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</si>
  <si>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</si>
  <si>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</si>
  <si>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</si>
  <si>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</si>
  <si>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</si>
  <si>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</si>
  <si>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</si>
  <si>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</si>
  <si>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</si>
  <si>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</si>
  <si>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</si>
  <si>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</si>
  <si>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</si>
  <si>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</si>
  <si>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</si>
  <si>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</si>
  <si>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</si>
  <si>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</si>
  <si>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</si>
  <si>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</si>
  <si>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</si>
  <si>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</si>
  <si>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</si>
  <si>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</si>
  <si>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</si>
  <si>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</si>
  <si>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</si>
  <si>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</si>
  <si>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</si>
  <si>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</si>
  <si>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</si>
  <si>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</si>
  <si>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</si>
  <si>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</si>
  <si>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</si>
  <si>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</si>
  <si>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</si>
  <si>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</si>
  <si>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</si>
  <si>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</si>
  <si>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</si>
  <si>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</si>
  <si>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</si>
  <si>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</si>
  <si>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</si>
  <si>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</si>
  <si>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</si>
  <si>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</si>
  <si>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</si>
  <si>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</si>
  <si>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</si>
  <si>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</si>
  <si>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</si>
  <si>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</si>
  <si>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</si>
  <si>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</si>
  <si>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</si>
  <si>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</si>
  <si>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</si>
  <si>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</si>
  <si>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</si>
  <si>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</si>
  <si>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</si>
  <si>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</si>
  <si>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</si>
  <si>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</si>
  <si>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</si>
  <si>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</si>
  <si>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</si>
  <si>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</si>
  <si>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</si>
  <si>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</si>
  <si>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</si>
  <si>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</si>
  <si>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</si>
  <si>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</si>
  <si>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</si>
  <si>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</si>
  <si>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</si>
  <si>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</si>
  <si>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</si>
  <si>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</si>
  <si>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</si>
  <si>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</si>
  <si>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</si>
  <si>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</si>
  <si>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</si>
  <si>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</si>
  <si>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</si>
  <si>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</si>
  <si>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</si>
  <si>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</si>
  <si>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</si>
  <si>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</si>
  <si>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</si>
  <si>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</si>
  <si>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</si>
  <si>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</si>
  <si>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</si>
  <si>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</si>
  <si>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</si>
  <si>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</si>
  <si>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</si>
  <si>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</si>
  <si>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</si>
  <si>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</si>
  <si>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</si>
  <si>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</si>
  <si>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</si>
  <si>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</si>
  <si>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</si>
  <si>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</si>
  <si>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</si>
  <si>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</si>
  <si>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</si>
  <si>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</si>
  <si>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</si>
  <si>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</si>
  <si>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</si>
  <si>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</si>
  <si>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</si>
  <si>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</si>
  <si>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</si>
  <si>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</si>
  <si>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</si>
  <si>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</si>
  <si>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</si>
  <si>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</si>
  <si>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</si>
  <si>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</si>
  <si>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</si>
  <si>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</si>
  <si>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</si>
  <si>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</si>
  <si>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</si>
  <si>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</si>
  <si>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</si>
  <si>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</si>
  <si>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</si>
  <si>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</si>
  <si>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</si>
  <si>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</si>
  <si>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</si>
  <si>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</si>
  <si>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</si>
  <si>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</si>
  <si>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</si>
  <si>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</si>
  <si>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</si>
  <si>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</si>
  <si>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</si>
  <si>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</si>
  <si>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</si>
  <si>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</si>
  <si>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</si>
  <si>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</si>
  <si>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</si>
  <si>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</si>
  <si>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</si>
  <si>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</si>
  <si>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</si>
  <si>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</si>
  <si>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</si>
  <si>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</si>
  <si>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</si>
  <si>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</si>
  <si>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</si>
  <si>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</si>
  <si>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</si>
  <si>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</si>
  <si>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</si>
  <si>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</si>
  <si>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</si>
  <si>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</si>
  <si>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</si>
  <si>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</si>
  <si>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</si>
  <si>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</si>
  <si>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</si>
  <si>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</si>
  <si>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</si>
  <si>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</si>
  <si>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</si>
  <si>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</si>
  <si>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</si>
  <si>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</si>
  <si>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</si>
  <si>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</si>
  <si>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</si>
  <si>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</si>
  <si>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</si>
  <si>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</si>
  <si>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</si>
  <si>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</si>
  <si>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</si>
  <si>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</si>
  <si>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</si>
  <si>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</si>
  <si>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</si>
  <si>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</si>
  <si>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</si>
  <si>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</si>
  <si>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</si>
  <si>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</si>
  <si>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</si>
  <si>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</si>
  <si>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</si>
  <si>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</si>
  <si>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</si>
  <si>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</si>
  <si>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</si>
  <si>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</si>
  <si>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</si>
  <si>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</si>
  <si>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</si>
  <si>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</si>
  <si>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</si>
  <si>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</si>
  <si>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</si>
  <si>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</si>
  <si>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</si>
  <si>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</si>
  <si>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</si>
  <si>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</si>
  <si>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</si>
  <si>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</si>
  <si>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</si>
  <si>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</si>
  <si>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</si>
  <si>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</si>
  <si>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</si>
  <si>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</si>
  <si>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</si>
  <si>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</si>
  <si>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</si>
  <si>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</si>
  <si>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</si>
  <si>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</si>
  <si>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</si>
  <si>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</si>
  <si>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</si>
  <si>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</si>
  <si>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</si>
  <si>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</si>
  <si>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</si>
  <si>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</si>
  <si>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</si>
  <si>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</si>
  <si>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</si>
  <si>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</si>
  <si>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</si>
  <si>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</si>
  <si>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</si>
  <si>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</si>
  <si>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</si>
  <si>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</si>
  <si>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</si>
  <si>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</si>
  <si>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</si>
  <si>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</si>
  <si>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</si>
  <si>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</si>
  <si>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</si>
  <si>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</si>
  <si>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</si>
  <si>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</si>
  <si>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</si>
  <si>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</si>
  <si>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</si>
  <si>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</si>
  <si>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</si>
  <si>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</si>
  <si>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</si>
  <si>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</si>
  <si>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</si>
  <si>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</si>
  <si>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</si>
  <si>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</si>
  <si>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</si>
  <si>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</si>
  <si>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</si>
  <si>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</si>
  <si>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</si>
  <si>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</si>
  <si>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</si>
  <si>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</si>
  <si>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</si>
  <si>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</si>
  <si>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</si>
  <si>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</si>
  <si>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</si>
  <si>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</si>
  <si>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</si>
  <si>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</si>
  <si>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</si>
  <si>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</si>
  <si>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</si>
  <si>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</si>
  <si>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</si>
  <si>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</si>
  <si>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</si>
  <si>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</si>
  <si>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</si>
  <si>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</si>
  <si>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</si>
  <si>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</si>
  <si>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</si>
  <si>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</si>
  <si>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</si>
  <si>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</si>
  <si>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</si>
  <si>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</si>
  <si>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</si>
  <si>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</si>
  <si>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</si>
  <si>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</si>
  <si>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</si>
  <si>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</si>
  <si>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</si>
  <si>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</si>
  <si>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</si>
  <si>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</si>
  <si>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</si>
  <si>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</si>
  <si>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</si>
  <si>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</si>
  <si>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</si>
  <si>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</si>
  <si>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</si>
  <si>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</si>
  <si>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</si>
  <si>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</si>
  <si>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</si>
  <si>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</si>
  <si>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</si>
  <si>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</si>
  <si>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</si>
  <si>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</si>
  <si>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</si>
  <si>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</si>
  <si>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</si>
  <si>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</si>
  <si>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</si>
  <si>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</si>
  <si>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</si>
  <si>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</si>
  <si>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</si>
  <si>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</si>
  <si>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</si>
  <si>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</si>
  <si>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</si>
  <si>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</si>
  <si>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</si>
  <si>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</si>
  <si>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</si>
  <si>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</si>
  <si>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</si>
  <si>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</si>
  <si>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</si>
  <si>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</si>
  <si>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</si>
  <si>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</si>
  <si>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</si>
  <si>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</si>
  <si>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</si>
  <si>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</si>
  <si>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</si>
  <si>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</si>
  <si>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</si>
  <si>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</si>
  <si>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</si>
  <si>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</si>
  <si>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</si>
  <si>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</si>
  <si>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</si>
  <si>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</si>
  <si>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</si>
  <si>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</si>
  <si>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</si>
  <si>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</si>
  <si>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</si>
  <si>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</si>
  <si>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</si>
  <si>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</si>
  <si>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</si>
  <si>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</si>
  <si>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</si>
  <si>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</si>
  <si>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</si>
  <si>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</si>
  <si>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</si>
  <si>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</si>
  <si>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</si>
  <si>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</si>
  <si>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</si>
  <si>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</si>
  <si>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</si>
  <si>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</si>
  <si>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</si>
  <si>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</si>
  <si>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</si>
  <si>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</si>
  <si>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</si>
  <si>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</si>
  <si>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</si>
  <si>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</si>
  <si>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</si>
  <si>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</si>
  <si>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</si>
  <si>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</si>
  <si>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</si>
  <si>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</si>
  <si>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</si>
  <si>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</si>
  <si>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</si>
  <si>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</si>
  <si>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</si>
  <si>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</si>
  <si>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</si>
  <si>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</si>
  <si>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</si>
  <si>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</si>
  <si>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</si>
  <si>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</si>
  <si>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</si>
  <si>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</si>
  <si>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</si>
  <si>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</si>
  <si>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</si>
  <si>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</si>
  <si>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</si>
  <si>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</si>
  <si>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</si>
  <si>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</si>
  <si>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</si>
  <si>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</si>
  <si>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</si>
  <si>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</si>
  <si>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</si>
  <si>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</si>
  <si>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</si>
  <si>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</si>
  <si>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</si>
  <si>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</si>
  <si>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</si>
  <si>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</si>
  <si>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</si>
  <si>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</si>
  <si>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</si>
  <si>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</si>
  <si>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</si>
  <si>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</si>
  <si>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</si>
  <si>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</si>
  <si>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</si>
  <si>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</si>
  <si>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</si>
  <si>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</si>
  <si>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</si>
  <si>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</si>
  <si>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</si>
  <si>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</si>
  <si>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</si>
  <si>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</si>
  <si>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</si>
  <si>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</si>
  <si>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</si>
  <si>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</si>
  <si>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</si>
  <si>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</si>
  <si>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</si>
  <si>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</si>
  <si>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</si>
  <si>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</si>
  <si>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</si>
  <si>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</si>
  <si>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</si>
  <si>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</si>
  <si>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</si>
  <si>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</si>
  <si>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</si>
  <si>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</si>
  <si>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</si>
  <si>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</si>
  <si>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</si>
  <si>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</si>
  <si>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</si>
  <si>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</si>
  <si>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</si>
  <si>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</si>
  <si>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</si>
  <si>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</si>
  <si>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</si>
  <si>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</si>
  <si>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</si>
  <si>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</si>
  <si>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</si>
  <si>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</si>
  <si>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</si>
  <si>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</si>
  <si>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</si>
  <si>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</si>
  <si>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</si>
  <si>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</si>
  <si>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</si>
  <si>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</si>
  <si>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</si>
  <si>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</si>
  <si>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</si>
  <si>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</si>
  <si>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</si>
  <si>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</si>
  <si>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</si>
  <si>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</si>
  <si>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</si>
  <si>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</si>
  <si>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</si>
  <si>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</si>
  <si>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</si>
  <si>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</si>
  <si>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</si>
  <si>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</si>
  <si>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</si>
  <si>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</si>
  <si>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</si>
  <si>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</si>
  <si>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</si>
  <si>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</si>
  <si>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</si>
  <si>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</si>
  <si>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</si>
  <si>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</si>
  <si>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</si>
  <si>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</si>
  <si>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</si>
  <si>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</si>
  <si>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</si>
  <si>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</si>
  <si>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</si>
  <si>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</si>
  <si>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</si>
  <si>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</si>
  <si>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</si>
  <si>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</si>
  <si>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</si>
  <si>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</si>
  <si>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</si>
  <si>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</si>
  <si>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</si>
  <si>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</si>
  <si>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</si>
  <si>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</si>
  <si>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</si>
  <si>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</si>
  <si>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</si>
  <si>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</si>
  <si>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</si>
  <si>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</si>
  <si>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</si>
  <si>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</si>
  <si>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</si>
  <si>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</si>
  <si>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</si>
  <si>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</si>
  <si>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</si>
  <si>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</si>
  <si>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</si>
  <si>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</si>
  <si>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</si>
  <si>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</si>
  <si>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</si>
  <si>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</si>
  <si>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</si>
  <si>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</si>
  <si>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</si>
  <si>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</si>
  <si>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</si>
  <si>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</si>
  <si>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</si>
  <si>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</si>
  <si>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</si>
  <si>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</si>
  <si>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</si>
  <si>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</si>
  <si>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</si>
  <si>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</si>
  <si>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</si>
  <si>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</si>
  <si>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</si>
  <si>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</si>
  <si>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</si>
  <si>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</si>
  <si>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</si>
  <si>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</si>
  <si>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</si>
  <si>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</si>
  <si>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</si>
  <si>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</si>
  <si>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</si>
  <si>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</si>
  <si>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</si>
  <si>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</si>
  <si>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</si>
  <si>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</si>
  <si>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</si>
  <si>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</si>
  <si>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</si>
  <si>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</si>
  <si>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</si>
  <si>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</si>
  <si>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</si>
  <si>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</si>
  <si>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</si>
  <si>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</si>
  <si>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</si>
  <si>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</si>
  <si>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</si>
  <si>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</si>
  <si>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</si>
  <si>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</si>
  <si>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</si>
  <si>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</si>
  <si>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</si>
  <si>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</si>
  <si>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</si>
  <si>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</si>
  <si>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</si>
  <si>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</si>
  <si>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</si>
  <si>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</si>
  <si>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</si>
  <si>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</si>
  <si>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</si>
  <si>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</si>
  <si>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</si>
  <si>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</si>
  <si>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</si>
  <si>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</si>
  <si>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</si>
  <si>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</si>
  <si>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</si>
  <si>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</si>
  <si>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</si>
  <si>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</si>
  <si>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</si>
  <si>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</si>
  <si>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</si>
  <si>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</si>
  <si>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</si>
  <si>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</si>
  <si>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</si>
  <si>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</si>
  <si>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</si>
  <si>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</si>
  <si>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</si>
  <si>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</si>
  <si>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</si>
  <si>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</si>
  <si>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</si>
  <si>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</si>
  <si>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</si>
  <si>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</si>
  <si>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</si>
  <si>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</si>
  <si>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</si>
  <si>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</si>
  <si>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</si>
  <si>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</si>
  <si>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</si>
  <si>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</si>
  <si>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</si>
  <si>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</si>
  <si>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</si>
  <si>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</si>
  <si>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</si>
  <si>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</si>
  <si>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</si>
  <si>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</si>
  <si>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</si>
  <si>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</si>
  <si>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</si>
  <si>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</si>
  <si>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</si>
  <si>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</si>
  <si>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</si>
  <si>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</si>
  <si>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</si>
  <si>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</si>
  <si>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</si>
  <si>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</si>
  <si>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</si>
  <si>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</si>
  <si>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</si>
  <si>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</si>
  <si>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</si>
  <si>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</si>
  <si>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</si>
  <si>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</si>
  <si>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</si>
  <si>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</si>
  <si>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</si>
  <si>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</si>
  <si>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</si>
  <si>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</si>
  <si>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</si>
  <si>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</si>
  <si>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</si>
  <si>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</si>
  <si>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</si>
  <si>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</si>
  <si>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</si>
  <si>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</si>
  <si>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</si>
  <si>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</si>
  <si>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</si>
  <si>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</si>
  <si>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</si>
  <si>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</si>
  <si>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</si>
  <si>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</si>
  <si>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</si>
  <si>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</si>
  <si>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</si>
  <si>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</si>
  <si>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</si>
  <si>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</si>
  <si>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</si>
  <si>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</si>
  <si>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</si>
  <si>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</si>
  <si>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</si>
  <si>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</si>
  <si>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</si>
  <si>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</si>
  <si>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</si>
  <si>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</si>
  <si>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</si>
  <si>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</si>
  <si>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</si>
  <si>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</si>
  <si>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</si>
  <si>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</si>
  <si>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</si>
  <si>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</si>
  <si>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</si>
  <si>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</si>
  <si>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</si>
  <si>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</si>
  <si>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</si>
  <si>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</si>
  <si>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</si>
  <si>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</si>
  <si>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</si>
  <si>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</si>
  <si>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</si>
  <si>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</si>
  <si>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</si>
  <si>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</si>
  <si>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</si>
  <si>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</si>
  <si>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</si>
  <si>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</si>
  <si>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</si>
  <si>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</si>
  <si>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</si>
  <si>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</si>
  <si>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</si>
  <si>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</si>
  <si>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</si>
  <si>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</si>
  <si>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</si>
  <si>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</si>
  <si>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</si>
  <si>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</si>
  <si>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</si>
  <si>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</si>
  <si>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</si>
  <si>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</si>
  <si>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</si>
  <si>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</si>
  <si>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</si>
  <si>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</si>
  <si>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</si>
  <si>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</si>
  <si>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</si>
  <si>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</si>
  <si>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</si>
  <si>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</si>
  <si>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</si>
  <si>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</si>
  <si>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</si>
  <si>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</si>
  <si>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</si>
  <si>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</si>
  <si>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</si>
  <si>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</si>
  <si>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</si>
  <si>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</si>
  <si>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</si>
  <si>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</si>
  <si>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</si>
  <si>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</si>
  <si>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</si>
  <si>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</si>
  <si>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</si>
  <si>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</si>
  <si>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</si>
  <si>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</si>
  <si>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</si>
  <si>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</si>
  <si>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</si>
  <si>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</si>
  <si>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</si>
  <si>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</si>
  <si>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</si>
  <si>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</si>
  <si>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</si>
  <si>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</si>
  <si>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</si>
  <si>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</si>
  <si>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</si>
  <si>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</si>
  <si>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</si>
  <si>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</si>
  <si>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</si>
  <si>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</si>
  <si>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</si>
  <si>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</si>
  <si>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</si>
  <si>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</si>
  <si>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</si>
  <si>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</si>
  <si>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</si>
  <si>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</si>
  <si>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</si>
  <si>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</si>
  <si>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</si>
  <si>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</si>
  <si>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</si>
  <si>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</si>
  <si>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</si>
  <si>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</si>
  <si>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</si>
  <si>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</si>
  <si>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</si>
  <si>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</si>
  <si>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</si>
  <si>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</si>
  <si>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</si>
  <si>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</si>
  <si>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</si>
  <si>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</si>
  <si>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</si>
  <si>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</si>
  <si>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</si>
  <si>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</si>
  <si>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</si>
  <si>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</si>
  <si>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</si>
  <si>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</si>
  <si>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</si>
  <si>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</si>
  <si>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</si>
  <si>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</si>
  <si>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</si>
  <si>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</si>
  <si>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</si>
  <si>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</si>
  <si>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</si>
  <si>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</si>
  <si>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</si>
  <si>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</si>
  <si>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</si>
  <si>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</si>
  <si>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</si>
  <si>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</si>
  <si>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</si>
  <si>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</si>
  <si>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</si>
  <si>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</si>
  <si>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</si>
  <si>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</si>
  <si>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</si>
  <si>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</si>
  <si>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</si>
  <si>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</si>
  <si>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</si>
  <si>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</si>
  <si>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</si>
  <si>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</si>
  <si>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</si>
  <si>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</si>
  <si>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</si>
  <si>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</si>
  <si>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</si>
  <si>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</si>
  <si>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</si>
  <si>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</si>
  <si>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</si>
  <si>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</si>
  <si>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</si>
  <si>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</si>
  <si>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</si>
  <si>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</si>
  <si>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</si>
  <si>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</si>
  <si>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</si>
  <si>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</si>
  <si>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</si>
  <si>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</si>
  <si>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</si>
  <si>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</si>
  <si>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</si>
  <si>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</si>
  <si>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</si>
  <si>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</si>
  <si>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</si>
  <si>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</si>
  <si>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</si>
  <si>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</si>
  <si>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</si>
  <si>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</si>
  <si>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</si>
  <si>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</si>
  <si>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</si>
  <si>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</si>
  <si>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</si>
  <si>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</si>
  <si>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</si>
  <si>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</si>
  <si>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</si>
  <si>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</si>
  <si>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</si>
  <si>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</si>
  <si>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</si>
  <si>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</si>
  <si>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</si>
  <si>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</si>
  <si>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</si>
  <si>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</si>
  <si>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</si>
  <si>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</si>
  <si>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</si>
  <si>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</si>
  <si>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</si>
  <si>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</si>
  <si>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</si>
  <si>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</si>
  <si>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</si>
  <si>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</si>
  <si>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</si>
  <si>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</si>
  <si>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</si>
  <si>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</si>
  <si>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</si>
  <si>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</si>
  <si>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</si>
  <si>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</si>
  <si>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</si>
  <si>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</si>
  <si>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</si>
  <si>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</si>
  <si>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</si>
  <si>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</si>
  <si>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</si>
  <si>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</si>
  <si>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</si>
  <si>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</si>
  <si>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</si>
  <si>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</si>
  <si>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</si>
  <si>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</si>
  <si>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</si>
  <si>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</si>
  <si>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</si>
  <si>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</si>
  <si>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</si>
  <si>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</si>
  <si>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</si>
  <si>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</si>
  <si>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</si>
  <si>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</si>
  <si>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</si>
  <si>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</si>
  <si>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</si>
  <si>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</si>
  <si>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</si>
  <si>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</si>
  <si>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</si>
  <si>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</si>
  <si>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</si>
  <si>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</si>
  <si>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</si>
  <si>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</si>
  <si>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</si>
  <si>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</si>
  <si>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</si>
  <si>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</si>
  <si>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</si>
  <si>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</si>
  <si>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</si>
  <si>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</si>
  <si>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</si>
  <si>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</si>
  <si>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</si>
  <si>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</si>
  <si>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</si>
  <si>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</si>
  <si>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</si>
  <si>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</si>
  <si>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</si>
  <si>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</si>
  <si>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</si>
  <si>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</si>
  <si>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</si>
  <si>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</si>
  <si>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</si>
  <si>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</si>
  <si>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</si>
  <si>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</si>
  <si>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</si>
  <si>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</si>
  <si>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</si>
  <si>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</si>
  <si>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</si>
  <si>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</si>
  <si>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</si>
  <si>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</si>
  <si>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</si>
  <si>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</si>
  <si>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</si>
  <si>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</si>
  <si>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</si>
  <si>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</si>
  <si>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</si>
  <si>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</si>
  <si>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</si>
  <si>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</si>
  <si>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</si>
  <si>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</si>
  <si>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</si>
  <si>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</si>
  <si>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</si>
  <si>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</si>
  <si>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</si>
  <si>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</si>
  <si>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</si>
  <si>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</si>
  <si>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</si>
  <si>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</si>
  <si>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</si>
  <si>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</si>
  <si>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</si>
  <si>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</si>
  <si>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</si>
  <si>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</si>
  <si>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</si>
  <si>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</si>
  <si>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</si>
  <si>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</si>
  <si>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</si>
  <si>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</si>
  <si>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</si>
  <si>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</si>
  <si>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</si>
  <si>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</si>
  <si>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</si>
  <si>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</si>
  <si>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</si>
  <si>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</si>
  <si>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</si>
  <si>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</si>
  <si>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</si>
  <si>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</si>
  <si>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</si>
  <si>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</si>
  <si>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</si>
  <si>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</si>
  <si>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</si>
  <si>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</si>
  <si>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</si>
  <si>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</si>
  <si>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</si>
  <si>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</si>
  <si>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</si>
  <si>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</si>
  <si>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</si>
  <si>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</si>
  <si>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</si>
  <si>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</si>
  <si>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</si>
  <si>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</si>
  <si>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</si>
  <si>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</si>
  <si>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</si>
  <si>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</si>
  <si>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</si>
  <si>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</si>
  <si>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</si>
  <si>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</si>
  <si>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</si>
  <si>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</si>
  <si>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</si>
  <si>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</si>
  <si>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</si>
  <si>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</si>
  <si>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</si>
  <si>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</si>
  <si>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</si>
  <si>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</si>
  <si>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</si>
  <si>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</si>
  <si>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</si>
  <si>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</si>
  <si>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</si>
  <si>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</si>
  <si>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</si>
  <si>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</si>
  <si>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</si>
  <si>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</si>
  <si>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</si>
  <si>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</si>
  <si>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</si>
  <si>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</si>
  <si>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</si>
  <si>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</si>
  <si>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</si>
  <si>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</si>
  <si>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</si>
  <si>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</si>
  <si>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</si>
  <si>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</si>
  <si>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</si>
  <si>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</si>
  <si>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</si>
  <si>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</si>
  <si>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</si>
  <si>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</si>
  <si>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</si>
  <si>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</si>
  <si>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</si>
  <si>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</si>
  <si>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</si>
  <si>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</si>
  <si>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</si>
  <si>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</si>
  <si>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</si>
  <si>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</si>
  <si>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</si>
  <si>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</si>
  <si>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</si>
  <si>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</si>
  <si>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</si>
  <si>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</si>
  <si>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</si>
  <si>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</si>
  <si>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</si>
  <si>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</si>
  <si>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</si>
  <si>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</si>
  <si>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</si>
  <si>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</si>
  <si>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</si>
  <si>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</si>
  <si>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</si>
  <si>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</si>
  <si>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</si>
  <si>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</si>
  <si>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</si>
  <si>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</si>
  <si>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</si>
  <si>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</si>
  <si>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</si>
  <si>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</si>
  <si>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</si>
  <si>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</si>
  <si>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</si>
  <si>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</si>
  <si>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</si>
  <si>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</si>
  <si>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</si>
  <si>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</si>
  <si>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</si>
  <si>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</si>
  <si>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</si>
  <si>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</si>
  <si>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</si>
  <si>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</si>
  <si>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</si>
  <si>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</si>
  <si>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</si>
  <si>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</si>
  <si>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</si>
  <si>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</si>
  <si>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</si>
  <si>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</si>
  <si>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</si>
  <si>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</si>
  <si>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</si>
  <si>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</si>
  <si>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</si>
  <si>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</si>
  <si>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</si>
  <si>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</si>
  <si>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</si>
  <si>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</si>
  <si>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</si>
  <si>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</si>
  <si>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</si>
  <si>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</si>
  <si>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</si>
  <si>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</si>
  <si>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</si>
  <si>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</si>
  <si>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</si>
  <si>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</si>
  <si>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</si>
  <si>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</si>
  <si>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</si>
  <si>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</si>
  <si>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</si>
  <si>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</si>
  <si>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</si>
  <si>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</si>
  <si>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</si>
  <si>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</si>
  <si>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</si>
  <si>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</si>
  <si>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</si>
  <si>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</si>
  <si>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</si>
  <si>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</si>
  <si>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</si>
  <si>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</si>
  <si>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</si>
  <si>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</si>
  <si>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</si>
  <si>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</si>
  <si>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</si>
  <si>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</si>
  <si>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</si>
  <si>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</si>
  <si>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</si>
  <si>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</si>
  <si>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</si>
  <si>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</si>
  <si>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</si>
  <si>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</si>
  <si>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</si>
  <si>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</si>
  <si>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</si>
  <si>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</si>
  <si>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</si>
  <si>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</si>
  <si>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</si>
  <si>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</si>
  <si>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</si>
  <si>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</si>
  <si>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</si>
  <si>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</si>
  <si>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</si>
  <si>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</si>
  <si>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</si>
  <si>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</si>
  <si>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</si>
  <si>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</si>
  <si>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</si>
  <si>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</si>
  <si>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</si>
  <si>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</si>
  <si>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</si>
  <si>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</si>
  <si>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</si>
  <si>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</si>
  <si>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</si>
  <si>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</si>
  <si>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</si>
  <si>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</si>
  <si>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</si>
  <si>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</si>
  <si>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</si>
  <si>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</si>
  <si>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</si>
  <si>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</si>
  <si>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</si>
  <si>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</si>
  <si>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</si>
  <si>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</si>
  <si>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</si>
  <si>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</si>
  <si>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</si>
  <si>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</si>
  <si>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</si>
  <si>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</si>
  <si>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</si>
  <si>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</si>
  <si>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</si>
  <si>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</si>
  <si>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</si>
  <si>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</si>
  <si>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</si>
  <si>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</si>
  <si>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</si>
  <si>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</si>
  <si>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</si>
  <si>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</si>
  <si>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</si>
  <si>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</si>
  <si>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</si>
  <si>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</si>
  <si>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</si>
  <si>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</si>
  <si>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</si>
  <si>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</si>
  <si>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</si>
  <si>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</si>
  <si>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</si>
  <si>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</si>
  <si>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</si>
  <si>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</si>
  <si>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</si>
  <si>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</si>
  <si>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</si>
  <si>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</si>
  <si>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</si>
  <si>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</si>
  <si>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</si>
  <si>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</si>
  <si>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</si>
  <si>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</si>
  <si>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</si>
  <si>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</si>
  <si>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</si>
  <si>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</si>
  <si>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</si>
  <si>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</si>
  <si>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</si>
  <si>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</si>
  <si>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</si>
  <si>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</si>
  <si>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</si>
  <si>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</si>
  <si>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</si>
  <si>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</si>
  <si>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</si>
  <si>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</si>
  <si>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</si>
  <si>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</si>
  <si>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</si>
  <si>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</si>
  <si>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</si>
  <si>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</si>
  <si>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</si>
  <si>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</si>
  <si>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</si>
  <si>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</si>
  <si>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</si>
  <si>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</si>
  <si>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</si>
  <si>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</si>
  <si>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</si>
  <si>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</si>
  <si>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</si>
  <si>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</si>
  <si>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</si>
  <si>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</si>
  <si>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</si>
  <si>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</si>
  <si>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</si>
  <si>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</si>
  <si>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</si>
  <si>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</si>
  <si>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</si>
  <si>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</si>
  <si>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</si>
  <si>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</si>
  <si>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</si>
  <si>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</si>
  <si>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</si>
  <si>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</si>
  <si>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</si>
  <si>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</si>
  <si>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</si>
  <si>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</si>
  <si>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</si>
  <si>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</si>
  <si>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</si>
  <si>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</si>
  <si>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</si>
  <si>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</si>
  <si>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</si>
  <si>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</si>
  <si>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</si>
  <si>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</si>
  <si>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</si>
  <si>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</si>
  <si>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</si>
  <si>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</si>
  <si>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</si>
  <si>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</si>
  <si>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</si>
  <si>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</si>
  <si>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</si>
  <si>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</si>
  <si>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</si>
  <si>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</si>
  <si>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</si>
  <si>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</si>
  <si>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</si>
  <si>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</si>
  <si>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</si>
  <si>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</si>
  <si>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</si>
  <si>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</si>
  <si>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</si>
  <si>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</si>
  <si>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</si>
  <si>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</si>
  <si>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</si>
  <si>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</si>
  <si>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</si>
  <si>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</si>
  <si>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</si>
  <si>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</si>
  <si>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</si>
  <si>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</si>
  <si>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</si>
  <si>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</si>
  <si>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</si>
  <si>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</si>
  <si>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</si>
  <si>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</si>
  <si>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</si>
  <si>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</si>
  <si>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</si>
  <si>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</si>
  <si>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</si>
  <si>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</si>
  <si>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</si>
  <si>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</si>
  <si>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</si>
  <si>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</si>
  <si>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</si>
  <si>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</si>
  <si>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</si>
  <si>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</si>
  <si>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</si>
  <si>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</si>
  <si>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</si>
  <si>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</si>
  <si>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</si>
  <si>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</si>
  <si>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</si>
  <si>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</si>
  <si>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</si>
  <si>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</si>
  <si>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</si>
  <si>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</si>
  <si>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</si>
  <si>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</si>
  <si>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</si>
  <si>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</si>
  <si>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</si>
  <si>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</si>
  <si>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</si>
  <si>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</si>
  <si>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</si>
  <si>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</si>
  <si>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</si>
  <si>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</si>
  <si>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</si>
  <si>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</si>
  <si>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</si>
  <si>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</si>
  <si>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</si>
  <si>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</si>
  <si>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</si>
  <si>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</si>
  <si>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</si>
  <si>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</si>
  <si>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</si>
  <si>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</si>
  <si>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</si>
  <si>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</si>
  <si>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</si>
  <si>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</si>
  <si>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</si>
  <si>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</si>
  <si>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</si>
  <si>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</si>
  <si>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</si>
  <si>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</si>
  <si>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</si>
  <si>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</si>
  <si>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</si>
  <si>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</si>
  <si>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</si>
  <si>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</si>
  <si>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</si>
  <si>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</si>
  <si>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</si>
  <si>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</si>
  <si>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</si>
  <si>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</si>
  <si>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</si>
  <si>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</si>
  <si>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</si>
  <si>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</si>
  <si>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</si>
  <si>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</si>
  <si>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</si>
  <si>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</si>
  <si>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</si>
  <si>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</si>
  <si>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</si>
  <si>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</si>
  <si>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</si>
  <si>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</si>
  <si>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</si>
  <si>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</si>
  <si>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</si>
  <si>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</si>
  <si>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</si>
  <si>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</si>
  <si>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</si>
  <si>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</si>
  <si>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</si>
  <si>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</si>
  <si>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</si>
  <si>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</si>
  <si>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</si>
  <si>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</si>
  <si>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</si>
  <si>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</si>
  <si>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</si>
  <si>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</si>
  <si>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</si>
  <si>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</si>
  <si>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</si>
  <si>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</si>
  <si>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</si>
  <si>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</si>
  <si>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</si>
  <si>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</si>
  <si>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</si>
  <si>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</si>
  <si>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</si>
  <si>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</si>
  <si>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</si>
  <si>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</si>
  <si>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</si>
  <si>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</si>
  <si>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</si>
  <si>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</si>
  <si>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</si>
  <si>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</si>
  <si>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</si>
  <si>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</si>
  <si>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</si>
  <si>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</si>
  <si>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</si>
  <si>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</si>
  <si>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</si>
  <si>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</si>
  <si>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</si>
  <si>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</si>
  <si>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</si>
  <si>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</si>
  <si>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</si>
  <si>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</si>
  <si>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</si>
  <si>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</si>
  <si>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</si>
  <si>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</si>
  <si>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</si>
  <si>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</si>
  <si>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</si>
  <si>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</si>
  <si>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</si>
  <si>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</si>
  <si>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</si>
  <si>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</si>
  <si>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</si>
  <si>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</si>
  <si>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</si>
  <si>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</si>
  <si>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</si>
  <si>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</si>
  <si>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</si>
  <si>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</si>
  <si>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</si>
  <si>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</si>
  <si>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</si>
  <si>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</si>
  <si>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</si>
  <si>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</si>
  <si>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</si>
  <si>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</si>
  <si>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</si>
  <si>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</si>
  <si>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</si>
  <si>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</si>
  <si>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</si>
  <si>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</si>
  <si>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</si>
  <si>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</si>
  <si>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</si>
  <si>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</si>
  <si>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</si>
  <si>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</si>
  <si>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</si>
  <si>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</si>
  <si>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</si>
  <si>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</si>
  <si>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</si>
  <si>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</si>
  <si>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</si>
  <si>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</si>
  <si>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</si>
  <si>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</si>
  <si>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</si>
  <si>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</si>
  <si>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</si>
  <si>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</si>
  <si>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</si>
  <si>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</si>
  <si>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</si>
  <si>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</si>
  <si>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</si>
  <si>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</si>
  <si>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</si>
  <si>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</si>
  <si>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</si>
  <si>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</si>
  <si>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</si>
  <si>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</si>
  <si>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</si>
  <si>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</si>
  <si>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</si>
  <si>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</si>
  <si>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</si>
  <si>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</si>
  <si>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</si>
  <si>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</si>
  <si>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</si>
  <si>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</si>
  <si>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</si>
  <si>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</si>
  <si>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</si>
  <si>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</si>
  <si>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</si>
  <si>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</si>
  <si>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</si>
  <si>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</si>
  <si>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</si>
  <si>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</si>
  <si>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</si>
  <si>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</si>
  <si>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</si>
  <si>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</si>
  <si>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</si>
  <si>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</si>
  <si>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</si>
  <si>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</si>
  <si>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</si>
  <si>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</si>
  <si>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</si>
  <si>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</si>
  <si>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</si>
  <si>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</si>
  <si>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</si>
  <si>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</si>
  <si>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</si>
  <si>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</si>
  <si>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</si>
  <si>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</si>
  <si>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</si>
  <si>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</si>
  <si>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</si>
  <si>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</si>
  <si>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</si>
  <si>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</si>
  <si>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</si>
  <si>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</si>
  <si>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</si>
  <si>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</si>
  <si>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</si>
  <si>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</si>
  <si>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</si>
  <si>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</si>
  <si>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</si>
  <si>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</si>
  <si>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</si>
  <si>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</si>
  <si>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</si>
  <si>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</si>
  <si>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</si>
  <si>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</si>
  <si>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</si>
  <si>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</si>
  <si>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</si>
  <si>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</si>
  <si>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</si>
  <si>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</si>
  <si>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</si>
  <si>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</si>
  <si>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</si>
  <si>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</si>
  <si>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</si>
  <si>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</si>
  <si>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</si>
  <si>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</si>
  <si>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</si>
  <si>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</si>
  <si>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</si>
  <si>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</si>
  <si>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</si>
  <si>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</si>
  <si>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</si>
  <si>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</si>
  <si>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</si>
  <si>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</si>
  <si>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</si>
  <si>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</si>
  <si>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</si>
  <si>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</si>
  <si>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</si>
  <si>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</si>
  <si>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</si>
  <si>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</si>
  <si>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</si>
  <si>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</si>
  <si>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</si>
  <si>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</si>
  <si>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</si>
  <si>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</si>
  <si>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</si>
  <si>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</si>
  <si>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</si>
  <si>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</si>
  <si>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</si>
  <si>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</si>
  <si>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</si>
  <si>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</si>
  <si>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</si>
  <si>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</si>
  <si>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</si>
  <si>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</si>
  <si>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</si>
  <si>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</si>
  <si>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</si>
  <si>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</si>
  <si>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</si>
  <si>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</si>
  <si>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</si>
  <si>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</si>
  <si>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</si>
  <si>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</si>
  <si>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</si>
  <si>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</si>
  <si>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</si>
  <si>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</si>
  <si>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</si>
  <si>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</si>
  <si>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</si>
  <si>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</si>
  <si>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</si>
  <si>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</si>
  <si>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</si>
  <si>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</si>
  <si>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</si>
  <si>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</si>
  <si>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</si>
  <si>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</si>
  <si>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</si>
  <si>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</si>
  <si>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</si>
  <si>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</si>
  <si>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</si>
  <si>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</si>
  <si>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</si>
  <si>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</si>
  <si>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</si>
  <si>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</si>
  <si>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</si>
  <si>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</si>
  <si>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</si>
  <si>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</si>
  <si>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</si>
  <si>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</si>
  <si>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</si>
  <si>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</si>
  <si>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</si>
  <si>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</si>
  <si>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</si>
  <si>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</si>
  <si>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</si>
  <si>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</si>
  <si>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</si>
  <si>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</si>
  <si>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</si>
  <si>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</si>
  <si>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</si>
  <si>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</si>
  <si>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</si>
  <si>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</si>
  <si>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</si>
  <si>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</si>
  <si>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</si>
  <si>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</si>
  <si>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</si>
  <si>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</si>
  <si>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</si>
  <si>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</si>
  <si>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</si>
  <si>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</si>
  <si>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</si>
  <si>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</si>
  <si>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</si>
  <si>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</si>
  <si>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</si>
  <si>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</si>
  <si>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</si>
  <si>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</si>
  <si>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</si>
  <si>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</si>
  <si>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</si>
  <si>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</si>
  <si>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</si>
  <si>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</si>
  <si>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</si>
  <si>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</si>
  <si>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</si>
  <si>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</si>
  <si>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</si>
  <si>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</si>
  <si>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</si>
  <si>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</si>
  <si>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</si>
  <si>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</si>
  <si>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</si>
  <si>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</si>
  <si>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</si>
  <si>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</si>
  <si>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</si>
  <si>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</si>
  <si>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</si>
  <si>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</si>
  <si>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</si>
  <si>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</si>
  <si>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</si>
  <si>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</si>
  <si>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</si>
  <si>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</si>
  <si>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</si>
  <si>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</si>
  <si>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</si>
  <si>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</si>
  <si>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</si>
  <si>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</si>
  <si>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</si>
  <si>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</si>
  <si>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</si>
  <si>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</si>
  <si>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</si>
  <si>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</si>
  <si>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</si>
  <si>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</si>
  <si>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</si>
  <si>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</si>
  <si>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</si>
  <si>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</si>
  <si>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</si>
  <si>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</si>
  <si>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</si>
  <si>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</si>
  <si>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</si>
  <si>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</si>
  <si>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</si>
  <si>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</si>
  <si>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</si>
  <si>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</si>
  <si>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</si>
  <si>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</si>
  <si>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</si>
  <si>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</si>
  <si>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</si>
  <si>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</si>
  <si>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</si>
  <si>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</si>
  <si>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</si>
  <si>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</si>
  <si>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</si>
  <si>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</si>
  <si>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</si>
  <si>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</si>
  <si>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</si>
  <si>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</si>
  <si>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</si>
  <si>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</si>
  <si>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</si>
  <si>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</si>
  <si>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</si>
  <si>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</si>
  <si>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</si>
  <si>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</si>
  <si>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</si>
  <si>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</si>
  <si>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</si>
  <si>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</si>
  <si>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</si>
  <si>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</si>
  <si>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</si>
  <si>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</si>
  <si>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</si>
  <si>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</si>
  <si>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</si>
  <si>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</si>
  <si>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</si>
  <si>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</si>
  <si>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</si>
  <si>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</si>
  <si>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</si>
  <si>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</si>
  <si>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</si>
  <si>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</si>
  <si>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</si>
  <si>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</si>
  <si>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</si>
  <si>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</si>
  <si>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</si>
  <si>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</si>
  <si>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</si>
  <si>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</si>
  <si>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</si>
  <si>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</si>
  <si>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</si>
  <si>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</si>
  <si>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</si>
  <si>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</si>
  <si>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</si>
  <si>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</si>
  <si>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</si>
  <si>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</si>
  <si>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</si>
  <si>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</si>
  <si>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</si>
  <si>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</si>
  <si>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</si>
  <si>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</si>
  <si>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</si>
  <si>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</si>
  <si>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</si>
  <si>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</si>
  <si>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</si>
  <si>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</si>
  <si>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</si>
  <si>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</si>
  <si>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</si>
  <si>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</si>
  <si>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</si>
  <si>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</si>
  <si>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</si>
  <si>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</si>
  <si>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</si>
  <si>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</si>
  <si>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</si>
  <si>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</si>
  <si>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</si>
  <si>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</si>
  <si>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</si>
  <si>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</si>
  <si>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</si>
  <si>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</si>
  <si>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</si>
  <si>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</si>
  <si>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</si>
  <si>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</si>
  <si>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</si>
  <si>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</si>
  <si>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</si>
  <si>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</si>
  <si>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</si>
  <si>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</si>
  <si>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</si>
  <si>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</si>
  <si>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</si>
  <si>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</si>
  <si>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</si>
  <si>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</si>
  <si>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</si>
  <si>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</si>
  <si>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</si>
  <si>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</si>
  <si>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</si>
  <si>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</si>
  <si>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</si>
  <si>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</si>
  <si>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</si>
  <si>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</si>
  <si>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</si>
  <si>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</si>
  <si>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</si>
  <si>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</si>
  <si>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</si>
  <si>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</si>
  <si>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</si>
  <si>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</si>
  <si>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</si>
  <si>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</si>
  <si>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</si>
  <si>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</si>
  <si>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</si>
  <si>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</si>
  <si>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</si>
  <si>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</si>
  <si>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</si>
  <si>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</si>
  <si>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</si>
  <si>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</si>
  <si>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</si>
  <si>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</si>
  <si>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</si>
  <si>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</si>
  <si>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</si>
  <si>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</si>
  <si>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</si>
  <si>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</si>
  <si>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</si>
  <si>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</si>
  <si>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</si>
  <si>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</si>
  <si>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</si>
  <si>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</si>
  <si>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</si>
  <si>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</si>
  <si>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</si>
  <si>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</si>
  <si>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</si>
  <si>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</si>
  <si>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</si>
  <si>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</si>
  <si>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</si>
  <si>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</si>
  <si>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</si>
  <si>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</si>
  <si>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</si>
  <si>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</si>
  <si>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</si>
  <si>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</si>
  <si>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</si>
  <si>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</si>
  <si>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</si>
  <si>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</si>
  <si>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</si>
  <si>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</si>
  <si>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</si>
  <si>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</si>
  <si>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</si>
  <si>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</si>
  <si>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</si>
  <si>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</si>
  <si>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</si>
  <si>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</si>
  <si>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</si>
  <si>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</si>
  <si>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</si>
  <si>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</si>
  <si>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</si>
  <si>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</si>
  <si>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</si>
  <si>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</si>
  <si>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</si>
  <si>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</si>
  <si>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</si>
  <si>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</si>
  <si>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</si>
  <si>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</si>
  <si>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</si>
  <si>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</si>
  <si>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</si>
  <si>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</si>
  <si>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</si>
  <si>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</si>
  <si>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</si>
  <si>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</si>
  <si>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</si>
  <si>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</si>
  <si>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</si>
  <si>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</si>
  <si>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</si>
  <si>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</si>
  <si>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</si>
  <si>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</si>
  <si>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</si>
  <si>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</si>
  <si>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</si>
  <si>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</si>
  <si>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</si>
  <si>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</si>
  <si>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</si>
  <si>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</si>
  <si>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</si>
  <si>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</si>
  <si>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</si>
  <si>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</si>
  <si>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</si>
  <si>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</si>
  <si>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</si>
  <si>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</si>
  <si>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</si>
  <si>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</si>
  <si>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</si>
  <si>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</si>
  <si>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</si>
  <si>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</si>
  <si>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</si>
  <si>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</si>
  <si>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</si>
  <si>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</si>
  <si>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</si>
  <si>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</si>
  <si>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</si>
  <si>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</si>
  <si>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</si>
  <si>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</si>
  <si>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</si>
  <si>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</si>
  <si>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</si>
  <si>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</si>
  <si>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</si>
  <si>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</si>
  <si>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</si>
  <si>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</si>
  <si>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</si>
  <si>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</si>
  <si>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</si>
  <si>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</si>
  <si>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</si>
  <si>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</si>
  <si>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</si>
  <si>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</si>
  <si>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</si>
  <si>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</si>
  <si>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</si>
  <si>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</si>
  <si>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</si>
  <si>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</si>
  <si>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</si>
  <si>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</si>
  <si>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</si>
  <si>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</si>
  <si>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</si>
  <si>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</si>
  <si>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</si>
  <si>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</si>
  <si>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</si>
  <si>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</si>
  <si>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</si>
  <si>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</si>
  <si>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</si>
  <si>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</si>
  <si>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</si>
  <si>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</si>
  <si>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</si>
  <si>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</si>
  <si>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</si>
  <si>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</si>
  <si>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</si>
  <si>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</si>
  <si>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</si>
  <si>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</si>
  <si>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</si>
  <si>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</si>
  <si>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</si>
  <si>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</si>
  <si>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</si>
  <si>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</si>
  <si>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</si>
  <si>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</si>
  <si>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</si>
  <si>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</si>
  <si>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</si>
  <si>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</si>
  <si>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</si>
  <si>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</si>
  <si>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</si>
  <si>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</si>
  <si>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</si>
  <si>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</si>
  <si>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</si>
  <si>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</si>
  <si>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</si>
  <si>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</si>
  <si>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</si>
  <si>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</si>
  <si>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</si>
  <si>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</si>
  <si>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</si>
  <si>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</si>
  <si>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</si>
  <si>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</si>
  <si>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</si>
  <si>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</si>
  <si>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</si>
  <si>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</si>
  <si>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</si>
  <si>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</si>
  <si>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</si>
  <si>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</si>
  <si>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</si>
  <si>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</si>
  <si>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</si>
  <si>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</si>
  <si>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</si>
  <si>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</si>
  <si>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</si>
  <si>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</si>
  <si>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</si>
  <si>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</si>
  <si>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</si>
  <si>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</si>
  <si>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</si>
  <si>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</si>
  <si>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</si>
  <si>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</si>
  <si>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</si>
  <si>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</si>
  <si>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</si>
  <si>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</si>
  <si>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</si>
  <si>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</si>
  <si>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</si>
  <si>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</si>
  <si>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</si>
  <si>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</si>
  <si>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</si>
  <si>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</si>
  <si>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</si>
  <si>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</si>
  <si>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</si>
  <si>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</si>
  <si>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</si>
  <si>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</si>
  <si>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</si>
  <si>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</si>
  <si>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</si>
  <si>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</si>
  <si>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</si>
  <si>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</si>
  <si>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</si>
  <si>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</si>
  <si>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</si>
  <si>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</si>
  <si>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</si>
  <si>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</si>
  <si>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</si>
  <si>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</si>
  <si>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</si>
  <si>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</si>
  <si>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</si>
  <si>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</si>
  <si>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</si>
  <si>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</si>
  <si>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</si>
  <si>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</si>
  <si>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</si>
  <si>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</si>
  <si>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</si>
  <si>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</si>
  <si>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</si>
  <si>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</si>
  <si>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</si>
  <si>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</si>
  <si>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</si>
  <si>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</si>
  <si>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</si>
  <si>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</si>
  <si>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</si>
  <si>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</si>
  <si>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</si>
  <si>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</si>
  <si>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</si>
  <si>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</si>
  <si>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</si>
  <si>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</si>
  <si>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</si>
  <si>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</si>
  <si>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</si>
  <si>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</si>
  <si>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</si>
  <si>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</si>
  <si>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</si>
  <si>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</si>
  <si>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</si>
  <si>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</si>
  <si>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</si>
  <si>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</si>
  <si>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</si>
  <si>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</si>
  <si>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</si>
  <si>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</si>
  <si>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</si>
  <si>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</si>
  <si>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</si>
  <si>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</si>
  <si>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</si>
  <si>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</si>
  <si>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</si>
  <si>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</si>
  <si>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</si>
  <si>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</si>
  <si>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</si>
  <si>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</si>
  <si>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</si>
  <si>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</si>
  <si>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</si>
  <si>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</si>
  <si>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</si>
  <si>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</si>
  <si>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</si>
  <si>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</si>
  <si>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</si>
  <si>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</si>
  <si>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</si>
  <si>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</si>
  <si>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</si>
  <si>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</si>
  <si>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</si>
  <si>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</si>
  <si>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</si>
  <si>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</si>
  <si>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</si>
  <si>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</si>
  <si>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</si>
  <si>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</si>
  <si>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</si>
  <si>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</si>
  <si>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</si>
  <si>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</si>
  <si>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</si>
  <si>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</si>
  <si>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</si>
  <si>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</si>
  <si>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</si>
  <si>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</si>
  <si>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</si>
  <si>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</si>
  <si>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</si>
  <si>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</si>
  <si>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</si>
  <si>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</si>
  <si>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</si>
  <si>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</si>
  <si>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</si>
  <si>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</si>
  <si>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</si>
  <si>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</si>
  <si>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</si>
  <si>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</si>
  <si>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</si>
  <si>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</si>
  <si>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</si>
  <si>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</si>
  <si>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</si>
  <si>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</si>
  <si>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</si>
  <si>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</si>
  <si>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</si>
  <si>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</si>
  <si>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</si>
  <si>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</si>
  <si>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</si>
  <si>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</si>
  <si>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</si>
  <si>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</si>
  <si>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</si>
  <si>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</si>
  <si>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</si>
  <si>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</si>
  <si>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</si>
  <si>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</si>
  <si>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</si>
  <si>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</si>
  <si>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</si>
  <si>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</si>
  <si>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</si>
  <si>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</si>
  <si>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</si>
  <si>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</si>
  <si>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</si>
  <si>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</si>
  <si>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</si>
  <si>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</si>
  <si>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</si>
  <si>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</si>
  <si>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</si>
  <si>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</si>
  <si>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</si>
  <si>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</si>
  <si>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</si>
  <si>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</si>
  <si>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</si>
  <si>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</si>
  <si>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</si>
  <si>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</si>
  <si>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</si>
  <si>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</si>
  <si>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</si>
  <si>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</si>
  <si>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</si>
  <si>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</si>
  <si>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</si>
  <si>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</si>
  <si>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</si>
  <si>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</si>
  <si>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</si>
  <si>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</si>
  <si>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</si>
  <si>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</si>
  <si>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</si>
  <si>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</si>
  <si>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</si>
  <si>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</si>
  <si>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</si>
  <si>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</si>
  <si>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</si>
  <si>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</si>
  <si>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</si>
  <si>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</si>
  <si>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</si>
  <si>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</si>
  <si>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</si>
  <si>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</si>
  <si>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</si>
  <si>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</si>
  <si>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</si>
  <si>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</si>
  <si>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</si>
  <si>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</si>
  <si>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</si>
  <si>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</si>
  <si>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</si>
  <si>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</si>
  <si>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</si>
  <si>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</si>
  <si>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</si>
  <si>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</si>
  <si>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</si>
  <si>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</si>
  <si>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</si>
  <si>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</si>
  <si>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</si>
  <si>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</si>
  <si>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</si>
  <si>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</si>
  <si>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</si>
  <si>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</si>
  <si>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</si>
  <si>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</si>
  <si>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</si>
  <si>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</si>
  <si>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</si>
  <si>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</si>
  <si>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</si>
  <si>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</si>
  <si>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</si>
  <si>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</si>
  <si>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</si>
  <si>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</si>
  <si>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</si>
  <si>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</si>
  <si>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</si>
  <si>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</si>
  <si>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</si>
  <si>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</si>
  <si>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</si>
  <si>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</si>
  <si>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</si>
  <si>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</si>
  <si>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</si>
  <si>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</si>
  <si>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</si>
  <si>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</si>
  <si>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</si>
  <si>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</si>
  <si>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</si>
  <si>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</si>
  <si>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</si>
  <si>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</si>
  <si>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</si>
  <si>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</si>
  <si>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</si>
  <si>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</si>
  <si>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</si>
  <si>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</si>
  <si>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</si>
  <si>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</si>
  <si>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</si>
  <si>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</si>
  <si>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</si>
  <si>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</si>
  <si>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</si>
  <si>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</si>
  <si>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</si>
  <si>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</si>
  <si>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</si>
  <si>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</si>
  <si>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</si>
  <si>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</si>
  <si>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</si>
  <si>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</si>
  <si>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</si>
  <si>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</si>
  <si>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</si>
  <si>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</si>
  <si>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</si>
  <si>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</si>
  <si>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</si>
  <si>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</si>
  <si>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</si>
  <si>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</si>
  <si>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</si>
  <si>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</si>
  <si>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</si>
  <si>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</si>
  <si>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</si>
  <si>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</si>
  <si>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</si>
  <si>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</si>
  <si>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</si>
  <si>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</si>
  <si>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</si>
  <si>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</si>
  <si>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</si>
  <si>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</si>
  <si>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</si>
  <si>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</si>
  <si>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</si>
  <si>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</si>
  <si>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</si>
  <si>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</si>
  <si>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</si>
  <si>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</si>
  <si>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</si>
  <si>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</si>
  <si>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</si>
  <si>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</si>
  <si>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</si>
  <si>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</si>
  <si>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</si>
  <si>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</si>
  <si>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</si>
  <si>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</si>
  <si>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</si>
  <si>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</si>
  <si>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</si>
  <si>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</si>
  <si>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</si>
  <si>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</si>
  <si>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</si>
  <si>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</si>
  <si>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</si>
  <si>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</si>
  <si>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</si>
  <si>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</si>
  <si>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</si>
  <si>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</si>
  <si>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</si>
  <si>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</si>
  <si>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</si>
  <si>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</si>
  <si>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</si>
  <si>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</si>
  <si>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</si>
  <si>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</si>
  <si>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</si>
  <si>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</si>
  <si>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</si>
  <si>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</si>
  <si>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</si>
  <si>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</si>
  <si>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</si>
  <si>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</si>
  <si>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</si>
  <si>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</si>
  <si>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</si>
  <si>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</si>
  <si>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</si>
  <si>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</si>
  <si>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</si>
  <si>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</si>
  <si>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</si>
  <si>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</si>
  <si>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</si>
  <si>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</si>
  <si>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</si>
  <si>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</si>
  <si>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</si>
  <si>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</si>
  <si>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</si>
  <si>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</si>
  <si>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</si>
  <si>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</si>
  <si>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</si>
  <si>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</si>
  <si>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</si>
  <si>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</si>
  <si>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</si>
  <si>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</si>
  <si>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</si>
  <si>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</si>
  <si>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</si>
  <si>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</si>
  <si>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</si>
  <si>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</si>
  <si>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</si>
  <si>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</si>
  <si>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</si>
  <si>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</si>
  <si>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</si>
  <si>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</si>
  <si>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</si>
  <si>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</si>
  <si>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</si>
  <si>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</si>
  <si>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</si>
  <si>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</si>
  <si>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</si>
  <si>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</si>
  <si>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</si>
  <si>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</si>
  <si>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</si>
  <si>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</si>
  <si>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</si>
  <si>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</si>
  <si>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</si>
  <si>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</si>
  <si>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</si>
  <si>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</si>
  <si>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</si>
  <si>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</si>
  <si>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</si>
  <si>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</si>
  <si>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</si>
  <si>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</si>
  <si>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</si>
  <si>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</si>
  <si>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</si>
  <si>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</si>
  <si>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</si>
  <si>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</si>
  <si>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</si>
  <si>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</si>
  <si>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</si>
  <si>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</si>
  <si>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</si>
  <si>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</si>
  <si>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</si>
  <si>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</si>
  <si>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</si>
  <si>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</si>
  <si>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</si>
  <si>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</si>
  <si>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</si>
  <si>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</si>
  <si>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</si>
  <si>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</si>
  <si>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</si>
  <si>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</si>
  <si>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</si>
  <si>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</si>
  <si>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</si>
  <si>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</si>
  <si>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</si>
  <si>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</si>
  <si>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</si>
  <si>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</si>
  <si>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</si>
  <si>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</si>
  <si>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</si>
  <si>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</si>
  <si>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</si>
  <si>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</si>
  <si>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</si>
  <si>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</si>
  <si>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</si>
  <si>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</si>
  <si>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</si>
  <si>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</si>
  <si>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</si>
  <si>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</si>
  <si>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</si>
  <si>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</si>
  <si>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</si>
  <si>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</si>
  <si>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</si>
  <si>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</si>
  <si>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</si>
  <si>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</si>
  <si>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</si>
  <si>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</si>
  <si>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</si>
  <si>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</si>
  <si>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</si>
  <si>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</si>
  <si>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</si>
  <si>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</si>
  <si>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</si>
  <si>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</si>
  <si>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</si>
  <si>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</si>
  <si>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</si>
  <si>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</si>
  <si>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</si>
  <si>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</si>
  <si>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</si>
  <si>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</si>
  <si>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</si>
  <si>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</si>
  <si>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</si>
  <si>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</si>
  <si>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</si>
  <si>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</si>
  <si>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</si>
  <si>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</si>
  <si>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</si>
  <si>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</si>
  <si>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</si>
  <si>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</si>
  <si>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</si>
  <si>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</si>
  <si>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</si>
  <si>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</si>
  <si>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</si>
  <si>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</si>
  <si>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</si>
  <si>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</si>
  <si>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</si>
  <si>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</si>
  <si>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</si>
  <si>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</si>
  <si>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</si>
  <si>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</si>
  <si>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</si>
  <si>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</si>
  <si>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</si>
  <si>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</si>
  <si>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</si>
  <si>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</si>
  <si>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</si>
  <si>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</si>
  <si>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</si>
  <si>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</si>
  <si>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</si>
  <si>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</si>
  <si>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</si>
  <si>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</si>
  <si>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</si>
  <si>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</si>
  <si>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</si>
  <si>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</si>
  <si>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</si>
  <si>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</si>
  <si>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</si>
  <si>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</si>
  <si>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</si>
  <si>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</si>
  <si>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</si>
  <si>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</si>
  <si>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</si>
  <si>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</si>
  <si>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</si>
  <si>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</si>
  <si>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</si>
  <si>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</si>
  <si>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</si>
  <si>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</si>
  <si>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</si>
  <si>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</si>
  <si>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</si>
  <si>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</si>
  <si>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</si>
  <si>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</si>
  <si>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</si>
  <si>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</si>
  <si>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</si>
  <si>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</si>
  <si>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</si>
  <si>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</si>
  <si>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</si>
  <si>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</si>
  <si>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</si>
  <si>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</si>
  <si>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</si>
  <si>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</si>
  <si>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</si>
  <si>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</si>
  <si>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</si>
  <si>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</si>
  <si>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</si>
  <si>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</si>
  <si>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</si>
  <si>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</si>
  <si>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</si>
  <si>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</si>
  <si>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</si>
  <si>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</si>
  <si>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</si>
  <si>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</si>
  <si>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</si>
  <si>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</si>
  <si>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</si>
  <si>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</si>
  <si>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</si>
  <si>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</si>
  <si>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</si>
  <si>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</si>
  <si>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</si>
  <si>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</si>
  <si>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</si>
  <si>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</si>
  <si>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</si>
  <si>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</si>
  <si>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</si>
  <si>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</si>
  <si>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</si>
  <si>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</si>
  <si>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</si>
  <si>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</si>
  <si>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</si>
  <si>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</si>
  <si>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</si>
  <si>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</si>
  <si>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</si>
  <si>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</si>
  <si>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</si>
  <si>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</si>
  <si>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</si>
  <si>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</si>
  <si>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</si>
  <si>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</si>
  <si>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</si>
  <si>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</si>
  <si>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</si>
  <si>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</si>
  <si>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</si>
  <si>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</si>
  <si>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</si>
  <si>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</si>
  <si>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</si>
  <si>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</si>
  <si>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</si>
  <si>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</si>
  <si>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</si>
  <si>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</si>
  <si>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</si>
  <si>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</si>
  <si>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</si>
  <si>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</si>
  <si>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</si>
  <si>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</si>
  <si>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</si>
  <si>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</si>
  <si>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</si>
  <si>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</si>
  <si>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</si>
  <si>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</si>
  <si>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</si>
  <si>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</si>
  <si>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</si>
  <si>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</si>
  <si>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</si>
  <si>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</si>
  <si>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</si>
  <si>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</si>
  <si>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</si>
  <si>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</si>
  <si>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</si>
  <si>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</si>
  <si>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</si>
  <si>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</si>
  <si>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</si>
  <si>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</si>
  <si>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</si>
  <si>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</si>
  <si>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</si>
  <si>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</si>
  <si>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</si>
  <si>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</si>
  <si>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</si>
  <si>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</si>
  <si>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</si>
  <si>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</si>
  <si>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</si>
  <si>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</si>
  <si>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</si>
  <si>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</si>
  <si>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</si>
  <si>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</si>
  <si>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</si>
  <si>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</si>
  <si>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</si>
  <si>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</si>
  <si>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</si>
  <si>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</si>
  <si>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</si>
  <si>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</si>
  <si>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</si>
  <si>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</si>
  <si>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</si>
  <si>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</si>
  <si>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</si>
  <si>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</si>
  <si>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</si>
  <si>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</si>
  <si>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</si>
  <si>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</si>
  <si>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</si>
  <si>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</si>
  <si>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</si>
  <si>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</si>
  <si>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</si>
  <si>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</si>
  <si>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</si>
  <si>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</si>
  <si>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</si>
  <si>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</si>
  <si>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</si>
  <si>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</si>
  <si>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</si>
  <si>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</si>
  <si>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</si>
  <si>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</si>
  <si>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</si>
  <si>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</si>
  <si>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</si>
  <si>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</si>
  <si>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</si>
  <si>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</si>
  <si>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</si>
  <si>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</si>
  <si>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</si>
  <si>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</si>
  <si>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</si>
  <si>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</si>
  <si>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</si>
  <si>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</si>
  <si>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</si>
  <si>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</si>
  <si>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</si>
  <si>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</si>
  <si>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</si>
  <si>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</si>
  <si>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</si>
  <si>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</si>
  <si>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</si>
  <si>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</si>
  <si>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</si>
  <si>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</si>
  <si>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</si>
  <si>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</si>
  <si>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</si>
  <si>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</si>
  <si>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</si>
  <si>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</si>
  <si>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</si>
  <si>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</si>
  <si>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</si>
  <si>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</si>
  <si>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</si>
  <si>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</si>
  <si>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</si>
  <si>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</si>
  <si>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</si>
  <si>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</si>
  <si>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</si>
  <si>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</si>
  <si>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</si>
  <si>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</si>
  <si>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</si>
  <si>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</si>
  <si>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</si>
  <si>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</si>
  <si>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</si>
  <si>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</si>
  <si>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</si>
  <si>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</si>
  <si>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</si>
  <si>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</si>
  <si>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</si>
  <si>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</si>
  <si>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</si>
  <si>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</si>
  <si>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</si>
  <si>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</si>
  <si>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</si>
  <si>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</si>
  <si>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</si>
  <si>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</si>
  <si>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</si>
  <si>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</si>
  <si>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</si>
  <si>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</si>
  <si>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</si>
  <si>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</si>
  <si>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</si>
  <si>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</si>
  <si>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</si>
  <si>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</si>
  <si>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</si>
  <si>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</si>
  <si>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</si>
  <si>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</si>
  <si>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</si>
  <si>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</si>
  <si>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</si>
  <si>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</si>
  <si>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</si>
  <si>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</si>
  <si>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</si>
  <si>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</si>
  <si>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</si>
  <si>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</si>
  <si>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</si>
  <si>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</si>
  <si>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</si>
  <si>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</si>
  <si>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</si>
  <si>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</si>
  <si>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</si>
  <si>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</si>
  <si>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</si>
  <si>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</si>
  <si>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</si>
  <si>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</si>
  <si>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</si>
  <si>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</si>
  <si>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</si>
  <si>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</si>
  <si>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</si>
  <si>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</si>
  <si>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</si>
  <si>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</si>
  <si>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</si>
  <si>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</si>
  <si>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</si>
  <si>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</si>
  <si>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</si>
  <si>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</si>
  <si>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</si>
  <si>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</si>
  <si>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</si>
  <si>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</si>
  <si>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</si>
  <si>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</si>
  <si>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</si>
  <si>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</si>
  <si>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</si>
  <si>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</si>
  <si>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</si>
  <si>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</si>
  <si>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</si>
  <si>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</si>
  <si>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</si>
  <si>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</si>
  <si>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</si>
  <si>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</si>
  <si>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</si>
  <si>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</si>
  <si>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</si>
  <si>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</si>
  <si>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</si>
  <si>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</si>
  <si>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</si>
  <si>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</si>
  <si>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</si>
  <si>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</si>
  <si>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</si>
  <si>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</si>
  <si>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</si>
  <si>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</si>
  <si>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</si>
  <si>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</si>
  <si>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</si>
  <si>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</si>
  <si>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</si>
  <si>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</si>
  <si>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</si>
  <si>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</si>
  <si>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</si>
  <si>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</si>
  <si>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</si>
  <si>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</si>
  <si>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</si>
  <si>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</si>
  <si>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</si>
  <si>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</si>
  <si>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</si>
  <si>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</si>
  <si>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</si>
  <si>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</si>
  <si>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</si>
  <si>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</si>
  <si>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</si>
  <si>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</si>
  <si>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</si>
  <si>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</si>
  <si>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</si>
  <si>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</si>
  <si>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</si>
  <si>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</si>
  <si>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</si>
  <si>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</si>
  <si>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</si>
  <si>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</si>
  <si>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</si>
  <si>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</si>
  <si>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</si>
  <si>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</si>
  <si>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</si>
  <si>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</si>
  <si>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</si>
  <si>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</si>
  <si>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</si>
  <si>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</si>
  <si>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</si>
  <si>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</si>
  <si>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</si>
  <si>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</si>
  <si>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</si>
  <si>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</si>
  <si>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</si>
  <si>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</si>
  <si>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</si>
  <si>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</si>
  <si>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</si>
  <si>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</si>
  <si>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</si>
  <si>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</si>
  <si>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</si>
  <si>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</si>
  <si>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</si>
  <si>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</si>
  <si>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</si>
  <si>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</si>
  <si>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</si>
  <si>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</si>
  <si>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</si>
  <si>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</si>
  <si>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</si>
  <si>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</si>
  <si>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</si>
  <si>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</si>
  <si>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</si>
  <si>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</si>
  <si>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</si>
  <si>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</si>
  <si>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</si>
  <si>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</si>
  <si>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</si>
  <si>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</si>
  <si>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</si>
  <si>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</si>
  <si>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</si>
  <si>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</si>
  <si>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</si>
  <si>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</si>
  <si>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</si>
  <si>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</si>
  <si>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</si>
  <si>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</si>
  <si>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</si>
  <si>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</si>
  <si>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</si>
  <si>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</si>
  <si>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</si>
  <si>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</si>
  <si>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</si>
  <si>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</si>
  <si>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</si>
  <si>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</si>
  <si>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</si>
  <si>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</si>
  <si>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</si>
  <si>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</si>
  <si>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</si>
  <si>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</si>
  <si>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</si>
  <si>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</si>
  <si>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</si>
  <si>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</si>
  <si>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</si>
  <si>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</si>
  <si>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</si>
  <si>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</si>
  <si>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</si>
  <si>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</si>
  <si>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</si>
  <si>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</si>
  <si>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</si>
  <si>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</si>
  <si>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</si>
  <si>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</si>
  <si>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</si>
  <si>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</si>
  <si>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</si>
  <si>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</si>
  <si>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</si>
  <si>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</si>
  <si>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</si>
  <si>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</si>
  <si>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</si>
  <si>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</si>
  <si>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</si>
  <si>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</si>
  <si>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</si>
  <si>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</si>
  <si>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</si>
  <si>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</si>
  <si>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</si>
  <si>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</si>
  <si>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</si>
  <si>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</si>
  <si>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</si>
  <si>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</si>
  <si>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</si>
  <si>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</si>
  <si>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</si>
  <si>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</si>
  <si>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</si>
  <si>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</si>
  <si>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</si>
  <si>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</si>
  <si>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</si>
  <si>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</si>
  <si>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</si>
  <si>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</si>
  <si>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</si>
  <si>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</si>
  <si>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</si>
  <si>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</si>
  <si>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</si>
  <si>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</si>
  <si>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</si>
  <si>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</si>
  <si>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</si>
  <si>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</si>
  <si>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</si>
  <si>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</si>
  <si>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</si>
  <si>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</si>
  <si>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</si>
  <si>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</si>
  <si>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</si>
  <si>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</si>
  <si>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</si>
  <si>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</si>
  <si>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</si>
  <si>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</si>
  <si>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</si>
  <si>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</si>
  <si>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</si>
  <si>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</si>
  <si>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</si>
  <si>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</si>
  <si>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</si>
  <si>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</si>
  <si>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</si>
  <si>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</si>
  <si>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</si>
  <si>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</si>
  <si>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</si>
  <si>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</si>
  <si>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</si>
  <si>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</si>
  <si>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</si>
  <si>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</si>
  <si>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</si>
  <si>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</si>
  <si>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</si>
  <si>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</si>
  <si>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</si>
  <si>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</si>
  <si>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</si>
  <si>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</si>
  <si>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</si>
  <si>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</si>
  <si>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</si>
  <si>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</si>
  <si>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</si>
  <si>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</si>
  <si>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</si>
  <si>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</si>
  <si>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</si>
  <si>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</si>
  <si>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</si>
  <si>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</si>
  <si>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</si>
  <si>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</si>
  <si>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</si>
  <si>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</si>
  <si>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</si>
  <si>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</si>
  <si>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</si>
  <si>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</si>
  <si>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</si>
  <si>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</si>
  <si>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</si>
  <si>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</si>
  <si>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</si>
  <si>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</si>
  <si>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</si>
  <si>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</si>
  <si>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</si>
  <si>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</si>
  <si>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</si>
  <si>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</si>
  <si>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</si>
  <si>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</si>
  <si>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</si>
  <si>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</si>
  <si>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</si>
  <si>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</si>
  <si>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</si>
  <si>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</si>
  <si>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</si>
  <si>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</si>
  <si>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</si>
  <si>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</si>
  <si>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</si>
  <si>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</si>
  <si>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</si>
  <si>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</si>
  <si>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</si>
  <si>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</si>
  <si>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</si>
  <si>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</si>
  <si>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</si>
  <si>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</si>
  <si>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</si>
  <si>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</si>
  <si>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</si>
  <si>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</si>
  <si>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</si>
  <si>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</si>
  <si>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</si>
  <si>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</si>
  <si>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</si>
  <si>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</si>
  <si>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</si>
  <si>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</si>
  <si>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</si>
  <si>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</si>
  <si>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</si>
  <si>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</si>
  <si>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</si>
  <si>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</si>
  <si>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</si>
  <si>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</si>
  <si>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</si>
  <si>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</si>
  <si>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</si>
  <si>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</si>
  <si>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</si>
  <si>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</si>
  <si>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</si>
  <si>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</si>
  <si>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</si>
  <si>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</si>
  <si>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</si>
  <si>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</si>
  <si>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</si>
  <si>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</si>
  <si>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</si>
  <si>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</si>
  <si>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</si>
  <si>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</si>
  <si>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</si>
  <si>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</si>
  <si>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</si>
  <si>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</si>
  <si>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</si>
  <si>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</si>
  <si>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</si>
  <si>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</si>
  <si>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</si>
  <si>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</si>
  <si>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</si>
  <si>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</si>
  <si>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</si>
  <si>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</si>
  <si>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</si>
  <si>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</si>
  <si>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</si>
  <si>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</si>
  <si>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</si>
  <si>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</si>
  <si>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</si>
  <si>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</si>
  <si>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</si>
  <si>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</si>
  <si>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</si>
  <si>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</si>
  <si>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</si>
  <si>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</si>
  <si>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</si>
  <si>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</si>
  <si>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</si>
  <si>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</si>
  <si>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</si>
  <si>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</si>
  <si>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</si>
  <si>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</si>
  <si>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</si>
  <si>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</si>
  <si>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</si>
  <si>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</si>
  <si>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</si>
  <si>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</si>
  <si>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</si>
  <si>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</si>
  <si>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</si>
  <si>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</si>
  <si>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</si>
  <si>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</si>
  <si>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</si>
  <si>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</si>
  <si>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</si>
  <si>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</si>
  <si>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</si>
  <si>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</si>
  <si>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</si>
  <si>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</si>
  <si>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</si>
  <si>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</si>
  <si>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</si>
  <si>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</si>
  <si>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</si>
  <si>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</si>
  <si>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</si>
  <si>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</si>
  <si>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</si>
  <si>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</si>
  <si>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</si>
  <si>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</si>
  <si>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</si>
  <si>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</si>
  <si>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</si>
  <si>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</si>
  <si>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</si>
  <si>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</si>
  <si>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</si>
  <si>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</si>
  <si>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</si>
  <si>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</si>
  <si>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</si>
  <si>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</si>
  <si>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</si>
  <si>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</si>
  <si>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</si>
  <si>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</si>
  <si>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</si>
  <si>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</si>
  <si>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</si>
  <si>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</si>
  <si>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</si>
  <si>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</si>
  <si>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</si>
  <si>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</si>
  <si>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</si>
  <si>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</si>
  <si>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</si>
  <si>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</si>
  <si>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</si>
  <si>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</si>
  <si>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</si>
  <si>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</si>
  <si>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</si>
  <si>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</si>
  <si>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</si>
  <si>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</si>
  <si>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</si>
  <si>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</si>
  <si>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</si>
  <si>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</si>
  <si>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</si>
  <si>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</si>
  <si>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</si>
  <si>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</si>
  <si>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</si>
  <si>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</si>
  <si>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</si>
  <si>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</si>
  <si>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</si>
  <si>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</si>
  <si>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</si>
  <si>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</si>
  <si>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</si>
  <si>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</si>
  <si>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</si>
  <si>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</si>
  <si>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</si>
  <si>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</si>
  <si>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</si>
  <si>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</si>
  <si>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</si>
  <si>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</si>
  <si>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</si>
  <si>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</si>
  <si>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</si>
  <si>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</si>
  <si>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</si>
  <si>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</si>
  <si>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</si>
  <si>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</si>
  <si>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</si>
  <si>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</si>
  <si>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</si>
  <si>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</si>
  <si>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</si>
  <si>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</si>
  <si>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</si>
  <si>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</si>
  <si>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</si>
  <si>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</si>
  <si>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</si>
  <si>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</si>
  <si>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</si>
  <si>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</si>
  <si>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</si>
  <si>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</si>
  <si>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</si>
  <si>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</si>
  <si>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</si>
  <si>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</si>
  <si>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</si>
  <si>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</si>
  <si>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</si>
  <si>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</si>
  <si>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</si>
  <si>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</si>
  <si>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</si>
  <si>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</si>
  <si>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</si>
  <si>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</si>
  <si>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</si>
  <si>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</si>
  <si>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</si>
  <si>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</si>
  <si>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</si>
  <si>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</si>
  <si>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</si>
  <si>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</si>
  <si>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</si>
  <si>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</si>
  <si>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</si>
  <si>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</si>
  <si>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</si>
  <si>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</si>
  <si>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</si>
  <si>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</si>
  <si>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</si>
  <si>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</si>
  <si>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</si>
  <si>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</si>
  <si>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</si>
  <si>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</si>
  <si>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</si>
  <si>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</si>
  <si>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</si>
  <si>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</si>
  <si>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</si>
  <si>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</si>
  <si>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</si>
  <si>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</si>
  <si>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</si>
  <si>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</si>
  <si>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</si>
  <si>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</si>
  <si>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</si>
  <si>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</si>
  <si>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</si>
  <si>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</si>
  <si>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</si>
  <si>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</si>
  <si>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</si>
  <si>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</si>
  <si>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</si>
  <si>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</si>
  <si>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</si>
  <si>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</si>
  <si>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</si>
  <si>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</si>
  <si>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</si>
  <si>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</si>
  <si>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</si>
  <si>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</si>
  <si>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</si>
  <si>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</si>
  <si>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</si>
  <si>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</si>
  <si>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</si>
  <si>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</si>
  <si>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</si>
  <si>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</si>
  <si>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</si>
  <si>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</si>
  <si>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</si>
  <si>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</si>
  <si>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</si>
  <si>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</si>
  <si>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</si>
  <si>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</si>
  <si>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</si>
  <si>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</si>
  <si>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</si>
  <si>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</si>
  <si>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</si>
  <si>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</si>
  <si>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</si>
  <si>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</si>
  <si>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</si>
  <si>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</si>
  <si>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</si>
  <si>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</si>
  <si>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</si>
  <si>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</si>
  <si>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</si>
  <si>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</si>
  <si>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</si>
  <si>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</si>
  <si>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</si>
  <si>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</si>
  <si>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</si>
  <si>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</si>
  <si>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</si>
  <si>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</si>
  <si>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</si>
  <si>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</si>
  <si>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</si>
  <si>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</si>
  <si>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</si>
  <si>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</si>
  <si>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</si>
  <si>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</si>
  <si>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</si>
  <si>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</si>
  <si>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</si>
  <si>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</si>
  <si>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</si>
  <si>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</si>
  <si>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</si>
  <si>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</si>
  <si>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</si>
  <si>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</si>
  <si>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</si>
  <si>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</si>
  <si>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</si>
  <si>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</si>
  <si>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</si>
  <si>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</si>
  <si>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</si>
  <si>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</si>
  <si>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</si>
  <si>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</si>
  <si>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</si>
  <si>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</si>
  <si>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</si>
  <si>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</si>
  <si>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</si>
  <si>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</si>
  <si>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</si>
  <si>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</si>
  <si>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</si>
  <si>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</si>
  <si>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</si>
  <si>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</si>
  <si>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</si>
  <si>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</si>
  <si>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</si>
  <si>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</si>
  <si>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</si>
  <si>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</si>
  <si>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</si>
  <si>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</si>
  <si>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</si>
  <si>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</si>
  <si>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</si>
  <si>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</si>
  <si>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</si>
  <si>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</si>
  <si>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</si>
  <si>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</si>
  <si>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</si>
  <si>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</si>
  <si>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</si>
  <si>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</si>
  <si>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</si>
  <si>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</si>
  <si>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</si>
  <si>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</si>
  <si>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</si>
  <si>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</si>
  <si>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</si>
  <si>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</si>
  <si>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</si>
  <si>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</si>
  <si>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</si>
  <si>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</si>
  <si>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</si>
  <si>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</si>
  <si>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</si>
  <si>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</si>
  <si>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</si>
  <si>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</si>
  <si>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</si>
  <si>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</si>
  <si>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</si>
  <si>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</si>
  <si>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</si>
  <si>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</si>
  <si>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</si>
  <si>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</si>
  <si>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</si>
  <si>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</si>
  <si>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</si>
  <si>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</si>
  <si>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</si>
  <si>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</si>
  <si>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</si>
  <si>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</si>
  <si>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</si>
  <si>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</si>
  <si>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</si>
  <si>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</si>
  <si>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</si>
  <si>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</si>
  <si>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</si>
  <si>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</si>
  <si>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</si>
  <si>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</si>
  <si>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</si>
  <si>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</si>
  <si>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</si>
  <si>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</si>
  <si>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</si>
  <si>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</si>
  <si>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</si>
  <si>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</si>
  <si>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</si>
  <si>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</si>
  <si>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</si>
  <si>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</si>
  <si>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</si>
  <si>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</si>
  <si>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</si>
  <si>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</si>
  <si>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</si>
  <si>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</si>
  <si>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</si>
  <si>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</si>
  <si>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</si>
  <si>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</si>
  <si>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</si>
  <si>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</si>
  <si>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</si>
  <si>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</si>
  <si>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</si>
  <si>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</si>
  <si>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</si>
  <si>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</si>
  <si>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</si>
  <si>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</si>
  <si>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</si>
  <si>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</si>
  <si>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</si>
  <si>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</si>
  <si>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</si>
  <si>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</si>
  <si>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</si>
  <si>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</si>
  <si>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</si>
  <si>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</si>
  <si>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</si>
  <si>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</si>
  <si>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</si>
  <si>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</si>
  <si>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</si>
  <si>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</si>
  <si>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</si>
  <si>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</si>
  <si>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</si>
  <si>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</si>
  <si>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</si>
  <si>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</si>
  <si>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</si>
  <si>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</si>
  <si>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</si>
  <si>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</si>
  <si>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</si>
  <si>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</si>
  <si>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</si>
  <si>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</si>
  <si>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</si>
  <si>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</si>
  <si>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</si>
  <si>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</si>
  <si>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</si>
  <si>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</si>
  <si>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</si>
  <si>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</si>
  <si>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</si>
  <si>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</si>
  <si>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</si>
  <si>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</si>
  <si>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</si>
  <si>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</si>
  <si>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</si>
  <si>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</si>
  <si>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</si>
  <si>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</si>
  <si>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</si>
  <si>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</si>
  <si>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</si>
  <si>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</si>
  <si>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</si>
  <si>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</si>
  <si>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</si>
  <si>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</si>
  <si>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</si>
  <si>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</si>
  <si>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</si>
  <si>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</si>
  <si>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</si>
  <si>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</si>
  <si>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</si>
  <si>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</si>
  <si>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</si>
  <si>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</si>
  <si>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</si>
  <si>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</si>
  <si>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</si>
  <si>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</si>
  <si>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</si>
  <si>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</si>
  <si>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</si>
  <si>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</si>
  <si>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</si>
  <si>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</si>
  <si>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</si>
  <si>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</si>
  <si>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</si>
  <si>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</si>
  <si>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</si>
  <si>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</si>
  <si>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</si>
  <si>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</si>
  <si>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</si>
  <si>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</si>
  <si>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</si>
  <si>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</si>
  <si>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</si>
  <si>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</si>
  <si>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</si>
  <si>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</si>
  <si>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</si>
  <si>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</si>
  <si>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</si>
  <si>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</si>
  <si>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</si>
  <si>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</si>
  <si>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</si>
  <si>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</si>
  <si>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</si>
  <si>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</si>
  <si>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</si>
  <si>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</si>
  <si>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</si>
  <si>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</si>
  <si>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</si>
  <si>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</si>
  <si>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</si>
  <si>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</si>
  <si>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</si>
  <si>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</si>
  <si>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</si>
  <si>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</si>
  <si>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</si>
  <si>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</si>
  <si>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</si>
  <si>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</si>
  <si>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</si>
  <si>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</si>
  <si>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</si>
  <si>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</si>
  <si>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</si>
  <si>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</si>
  <si>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</si>
  <si>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</si>
  <si>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</si>
  <si>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</si>
  <si>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</si>
  <si>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</si>
  <si>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</si>
  <si>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</si>
  <si>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</si>
  <si>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</si>
  <si>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</si>
  <si>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</si>
  <si>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</si>
  <si>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</si>
  <si>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</si>
  <si>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</si>
  <si>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</si>
  <si>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</si>
  <si>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</si>
  <si>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</si>
  <si>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</si>
  <si>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</si>
  <si>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</si>
  <si>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</si>
  <si>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</si>
  <si>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</si>
  <si>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</si>
  <si>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</si>
  <si>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</si>
  <si>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</si>
  <si>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</si>
  <si>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</si>
  <si>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</si>
  <si>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</si>
  <si>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</si>
  <si>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</si>
  <si>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</si>
  <si>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</si>
  <si>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</si>
  <si>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</si>
  <si>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</si>
  <si>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</si>
  <si>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</si>
  <si>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</si>
  <si>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</si>
  <si>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</si>
  <si>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</si>
  <si>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</si>
  <si>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</si>
  <si>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</si>
  <si>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</si>
  <si>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</si>
  <si>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</si>
  <si>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</si>
  <si>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</si>
  <si>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</si>
  <si>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</si>
  <si>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</si>
  <si>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</si>
  <si>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</si>
  <si>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</si>
  <si>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</si>
  <si>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</si>
  <si>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</si>
  <si>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</si>
  <si>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</si>
  <si>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</si>
  <si>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</si>
  <si>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</si>
  <si>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</si>
  <si>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</si>
  <si>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</si>
  <si>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</si>
  <si>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</si>
  <si>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</si>
  <si>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</si>
  <si>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</si>
  <si>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</si>
  <si>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</si>
  <si>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</si>
  <si>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</si>
  <si>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</si>
  <si>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</si>
  <si>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</si>
  <si>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</si>
  <si>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</si>
  <si>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</si>
  <si>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</si>
  <si>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</si>
  <si>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</si>
  <si>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</si>
  <si>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</si>
  <si>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</si>
  <si>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</si>
  <si>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</si>
  <si>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</si>
  <si>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</si>
  <si>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</si>
  <si>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</si>
  <si>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</si>
  <si>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</si>
  <si>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</si>
  <si>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</si>
  <si>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</si>
  <si>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</si>
  <si>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</si>
  <si>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</si>
  <si>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</si>
  <si>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</si>
  <si>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</si>
  <si>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</si>
  <si>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</si>
  <si>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</si>
  <si>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</si>
  <si>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</si>
  <si>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</si>
  <si>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</si>
  <si>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</si>
  <si>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</si>
  <si>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</si>
  <si>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</si>
  <si>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</si>
  <si>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</si>
  <si>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</si>
  <si>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</si>
  <si>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</si>
  <si>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</si>
  <si>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</si>
  <si>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</si>
  <si>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</si>
  <si>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</si>
  <si>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</si>
  <si>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</si>
  <si>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</si>
  <si>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</si>
  <si>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</si>
  <si>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</si>
  <si>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</si>
  <si>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</si>
  <si>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</si>
  <si>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</si>
  <si>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</si>
  <si>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</si>
  <si>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</si>
  <si>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</si>
  <si>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</si>
  <si>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</si>
  <si>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</si>
  <si>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</si>
  <si>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</si>
  <si>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</si>
  <si>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</si>
  <si>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</si>
  <si>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</si>
  <si>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</si>
  <si>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</si>
  <si>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</si>
  <si>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</si>
  <si>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</si>
  <si>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</si>
  <si>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</si>
  <si>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</si>
  <si>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</si>
  <si>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</si>
  <si>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</si>
  <si>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</si>
  <si>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</si>
  <si>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</si>
  <si>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</si>
  <si>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</si>
  <si>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</si>
  <si>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</si>
  <si>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</si>
  <si>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</si>
  <si>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</si>
  <si>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</si>
  <si>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</si>
  <si>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</si>
  <si>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</si>
  <si>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</si>
  <si>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</si>
  <si>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</si>
  <si>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</si>
  <si>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</si>
  <si>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</si>
  <si>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</si>
  <si>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</si>
  <si>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</si>
  <si>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</si>
  <si>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</si>
  <si>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</si>
  <si>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</si>
  <si>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</si>
  <si>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</si>
  <si>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</si>
  <si>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</si>
  <si>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</si>
  <si>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</si>
  <si>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</si>
  <si>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</si>
  <si>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</si>
  <si>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</si>
  <si>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</si>
  <si>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</si>
  <si>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</si>
  <si>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</si>
  <si>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</si>
  <si>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</si>
  <si>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</si>
  <si>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</si>
  <si>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</si>
  <si>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</si>
  <si>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</si>
  <si>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</si>
  <si>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</si>
  <si>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</si>
  <si>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</si>
  <si>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</si>
  <si>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</si>
  <si>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</si>
  <si>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</si>
  <si>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</si>
  <si>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</si>
  <si>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</si>
  <si>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</si>
  <si>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</si>
  <si>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</si>
  <si>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</si>
  <si>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</si>
  <si>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</si>
  <si>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</si>
  <si>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</si>
  <si>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</si>
  <si>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</si>
  <si>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</si>
  <si>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</si>
  <si>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</si>
  <si>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</si>
  <si>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</si>
  <si>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</si>
  <si>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</si>
  <si>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</si>
  <si>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</si>
  <si>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</si>
  <si>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</si>
  <si>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</si>
  <si>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</si>
  <si>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</si>
  <si>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</si>
  <si>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</si>
  <si>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</si>
  <si>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</si>
  <si>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</si>
  <si>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</si>
  <si>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</si>
  <si>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</si>
  <si>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</si>
  <si>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</si>
  <si>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</si>
  <si>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</si>
  <si>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</si>
  <si>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</si>
  <si>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</si>
  <si>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</si>
  <si>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</si>
  <si>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</si>
  <si>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</si>
  <si>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</si>
  <si>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</si>
  <si>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</si>
  <si>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</si>
  <si>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</si>
  <si>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</si>
  <si>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</si>
  <si>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</si>
  <si>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</si>
  <si>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</si>
  <si>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</si>
  <si>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</si>
  <si>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</si>
  <si>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</si>
  <si>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</si>
  <si>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</si>
  <si>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</si>
  <si>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</si>
  <si>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</si>
  <si>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</si>
  <si>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</si>
  <si>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</si>
  <si>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</si>
  <si>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</si>
  <si>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</si>
  <si>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</si>
  <si>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</si>
  <si>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</si>
  <si>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</si>
  <si>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</si>
  <si>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</si>
  <si>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</si>
  <si>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</si>
  <si>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</si>
  <si>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</si>
  <si>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</si>
  <si>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</si>
  <si>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</si>
  <si>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</si>
  <si>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</si>
  <si>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</si>
  <si>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</si>
  <si>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</si>
  <si>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</si>
  <si>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</si>
  <si>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</si>
  <si>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</si>
  <si>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</si>
  <si>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</si>
  <si>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</si>
  <si>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</si>
  <si>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</si>
  <si>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</si>
  <si>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</si>
  <si>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</si>
  <si>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</si>
  <si>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</si>
  <si>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</si>
  <si>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</si>
  <si>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</si>
  <si>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</si>
  <si>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</si>
  <si>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</si>
  <si>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</si>
  <si>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</si>
  <si>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</si>
  <si>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</si>
  <si>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</si>
  <si>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</si>
  <si>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</si>
  <si>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</si>
  <si>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</si>
  <si>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</si>
  <si>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</si>
  <si>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</si>
  <si>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</si>
  <si>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</si>
  <si>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</si>
  <si>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</si>
  <si>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</si>
  <si>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</si>
  <si>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</si>
  <si>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</si>
  <si>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</si>
  <si>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</si>
  <si>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</si>
  <si>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</si>
  <si>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</si>
  <si>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</si>
  <si>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</si>
  <si>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</si>
  <si>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</si>
  <si>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</si>
  <si>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</si>
  <si>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</si>
  <si>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</si>
  <si>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</si>
  <si>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</si>
  <si>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</si>
  <si>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</si>
  <si>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</si>
  <si>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</si>
  <si>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</si>
  <si>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</si>
  <si>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</si>
  <si>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</si>
  <si>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</si>
  <si>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</si>
  <si>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</si>
  <si>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</si>
  <si>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</si>
  <si>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</si>
  <si>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</si>
  <si>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</si>
  <si>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</si>
  <si>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</si>
  <si>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</si>
  <si>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</si>
  <si>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</si>
  <si>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</si>
  <si>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</si>
  <si>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</si>
  <si>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</si>
  <si>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</si>
  <si>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</si>
  <si>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</si>
  <si>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</si>
  <si>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</si>
  <si>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</si>
  <si>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</si>
  <si>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</si>
  <si>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</si>
  <si>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</si>
  <si>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</si>
  <si>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</si>
  <si>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</si>
  <si>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</si>
  <si>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</si>
  <si>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</si>
  <si>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</si>
  <si>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</si>
  <si>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</si>
  <si>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</si>
  <si>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</si>
  <si>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</si>
  <si>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</si>
  <si>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</si>
  <si>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</si>
  <si>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</si>
  <si>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</si>
  <si>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</si>
  <si>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</si>
  <si>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</si>
  <si>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</si>
  <si>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</si>
  <si>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</si>
  <si>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</si>
  <si>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</si>
  <si>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</si>
  <si>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</si>
  <si>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</si>
  <si>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</si>
  <si>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</si>
  <si>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</si>
  <si>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</si>
  <si>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</si>
  <si>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</si>
  <si>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</si>
  <si>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</si>
  <si>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</si>
  <si>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</si>
  <si>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</si>
  <si>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</si>
  <si>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</si>
  <si>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</si>
  <si>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</si>
  <si>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</si>
  <si>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</si>
  <si>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</si>
  <si>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</si>
  <si>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</si>
  <si>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</si>
  <si>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</si>
  <si>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</si>
  <si>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</si>
  <si>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</si>
  <si>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</si>
  <si>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</si>
  <si>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</si>
  <si>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</si>
  <si>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</si>
  <si>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</si>
  <si>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</si>
  <si>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</si>
  <si>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</si>
  <si>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</si>
  <si>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</si>
  <si>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</si>
  <si>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</si>
  <si>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</si>
  <si>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</si>
  <si>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</si>
  <si>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</si>
  <si>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</si>
  <si>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</si>
  <si>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</si>
  <si>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</si>
  <si>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</si>
  <si>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</si>
  <si>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</si>
  <si>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</si>
  <si>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</si>
  <si>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</si>
  <si>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</si>
  <si>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</si>
  <si>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</si>
  <si>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</si>
  <si>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</si>
  <si>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</si>
  <si>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</si>
  <si>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</si>
  <si>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</si>
  <si>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</si>
  <si>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</si>
  <si>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</si>
  <si>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</si>
  <si>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</si>
  <si>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</si>
  <si>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</si>
  <si>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</si>
  <si>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</si>
  <si>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</si>
  <si>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</si>
  <si>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</si>
  <si>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</si>
  <si>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</si>
  <si>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</si>
  <si>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</si>
  <si>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</si>
  <si>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</si>
  <si>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</si>
  <si>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</si>
  <si>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</si>
  <si>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</si>
  <si>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</si>
  <si>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</si>
  <si>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</si>
  <si>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</si>
  <si>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</si>
  <si>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</si>
  <si>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</si>
  <si>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</si>
  <si>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</si>
  <si>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</si>
  <si>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</si>
  <si>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</si>
  <si>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</si>
  <si>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</si>
  <si>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</si>
  <si>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</si>
  <si>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</si>
  <si>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</si>
  <si>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</si>
  <si>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</si>
  <si>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</si>
  <si>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</si>
  <si>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</si>
  <si>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</si>
  <si>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</si>
  <si>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</si>
  <si>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</si>
  <si>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</si>
  <si>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</si>
  <si>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</si>
  <si>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</si>
  <si>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</si>
  <si>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</si>
  <si>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</si>
  <si>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</si>
  <si>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</si>
  <si>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</si>
  <si>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</si>
  <si>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</si>
  <si>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</si>
  <si>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</si>
  <si>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</si>
  <si>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</si>
  <si>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</si>
  <si>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</si>
  <si>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</si>
  <si>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</si>
  <si>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</si>
  <si>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</si>
  <si>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</si>
  <si>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</si>
  <si>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</si>
  <si>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</si>
  <si>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</si>
  <si>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</si>
  <si>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</si>
  <si>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</si>
  <si>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</si>
  <si>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</si>
  <si>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</si>
  <si>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</si>
  <si>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</si>
  <si>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</si>
  <si>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</si>
  <si>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</si>
  <si>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</si>
  <si>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</si>
  <si>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</si>
  <si>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</si>
  <si>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</si>
  <si>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</si>
  <si>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</si>
  <si>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</si>
  <si>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</si>
  <si>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</si>
  <si>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</si>
  <si>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</si>
  <si>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</si>
  <si>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</si>
  <si>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</si>
  <si>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</si>
  <si>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</si>
  <si>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</si>
  <si>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</si>
  <si>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</si>
  <si>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</si>
  <si>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</si>
  <si>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</si>
  <si>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</si>
  <si>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</si>
  <si>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</si>
  <si>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</si>
  <si>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</si>
  <si>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</si>
  <si>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</si>
  <si>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</si>
  <si>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</si>
  <si>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</si>
  <si>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</si>
  <si>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</si>
  <si>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</si>
  <si>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</si>
  <si>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</si>
  <si>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</si>
  <si>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</si>
  <si>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</si>
  <si>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</si>
  <si>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</si>
  <si>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</si>
  <si>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</si>
  <si>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</si>
  <si>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</si>
  <si>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</si>
  <si>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</si>
  <si>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</si>
  <si>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</si>
  <si>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</si>
  <si>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</si>
  <si>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</si>
  <si>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</si>
  <si>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</si>
  <si>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</si>
  <si>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</si>
  <si>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</si>
  <si>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</si>
  <si>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</si>
  <si>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</si>
  <si>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</si>
  <si>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</si>
  <si>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</si>
  <si>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</si>
  <si>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</si>
  <si>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</si>
  <si>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</si>
  <si>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</si>
  <si>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</si>
  <si>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</si>
  <si>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</si>
  <si>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</si>
  <si>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</si>
  <si>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</si>
  <si>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</si>
  <si>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</si>
  <si>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</si>
  <si>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</si>
  <si>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</si>
  <si>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</si>
  <si>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</si>
  <si>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</si>
  <si>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</si>
  <si>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</si>
  <si>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</si>
  <si>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</si>
  <si>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</si>
  <si>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</si>
  <si>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</si>
  <si>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</si>
  <si>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</si>
  <si>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</si>
  <si>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</si>
  <si>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</si>
  <si>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</si>
  <si>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</si>
  <si>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</si>
  <si>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</si>
  <si>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</si>
  <si>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</si>
  <si>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</si>
  <si>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</si>
  <si>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</si>
  <si>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</si>
  <si>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</si>
  <si>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</si>
  <si>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</si>
  <si>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</si>
  <si>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</si>
  <si>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</si>
  <si>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</si>
  <si>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</si>
  <si>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</si>
  <si>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</si>
  <si>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</si>
  <si>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</si>
  <si>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</si>
  <si>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</si>
  <si>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</si>
  <si>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</si>
  <si>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</si>
  <si>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</si>
  <si>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</si>
  <si>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</si>
  <si>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</si>
  <si>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</si>
  <si>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</si>
  <si>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</si>
  <si>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</si>
  <si>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</si>
  <si>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</si>
  <si>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</si>
  <si>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</si>
  <si>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</si>
  <si>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</si>
  <si>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</si>
  <si>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</si>
  <si>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</si>
  <si>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</si>
  <si>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</si>
  <si>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</si>
  <si>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</si>
  <si>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</si>
  <si>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</si>
  <si>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</si>
  <si>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</si>
  <si>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</si>
  <si>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</si>
  <si>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</si>
  <si>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</si>
  <si>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</si>
  <si>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</si>
  <si>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</si>
  <si>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</si>
  <si>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</si>
  <si>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</si>
  <si>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</si>
  <si>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</si>
  <si>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</si>
  <si>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</si>
  <si>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</si>
  <si>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</si>
  <si>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</si>
  <si>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</si>
  <si>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</si>
  <si>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</si>
  <si>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</si>
  <si>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</si>
  <si>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</si>
  <si>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</si>
  <si>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</si>
  <si>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</si>
  <si>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</si>
  <si>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</si>
  <si>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</si>
  <si>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</si>
  <si>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</si>
  <si>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</si>
  <si>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</si>
  <si>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</si>
  <si>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</si>
  <si>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</si>
  <si>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</si>
  <si>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</si>
  <si>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</si>
  <si>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</si>
  <si>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</si>
  <si>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</si>
  <si>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</si>
  <si>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</si>
  <si>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</si>
  <si>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</si>
  <si>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</si>
  <si>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</si>
  <si>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</si>
  <si>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</si>
  <si>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</si>
  <si>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</si>
  <si>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</si>
  <si>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</si>
  <si>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</si>
  <si>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</si>
  <si>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</si>
  <si>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</si>
  <si>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</si>
  <si>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</si>
  <si>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</si>
  <si>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</si>
  <si>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</si>
  <si>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</si>
  <si>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</si>
  <si>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</si>
  <si>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</si>
  <si>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</si>
  <si>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</si>
  <si>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</si>
  <si>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</si>
  <si>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</si>
  <si>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</si>
  <si>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</si>
  <si>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</si>
  <si>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</si>
  <si>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</si>
  <si>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</si>
  <si>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</si>
  <si>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</si>
  <si>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</si>
  <si>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</si>
  <si>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</si>
  <si>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</si>
  <si>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</si>
  <si>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</si>
  <si>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</si>
  <si>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</si>
  <si>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</si>
  <si>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</si>
  <si>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</si>
  <si>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</si>
  <si>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</si>
  <si>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</si>
  <si>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</si>
  <si>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</si>
  <si>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</si>
  <si>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</si>
  <si>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</si>
  <si>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</si>
  <si>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</si>
  <si>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</si>
  <si>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</si>
  <si>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</si>
  <si>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</si>
  <si>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</si>
  <si>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</si>
  <si>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</si>
  <si>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</si>
  <si>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</si>
  <si>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</si>
  <si>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</si>
  <si>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</si>
  <si>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</si>
  <si>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</si>
  <si>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</si>
  <si>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</si>
  <si>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</si>
  <si>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</si>
  <si>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</si>
  <si>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</si>
  <si>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</si>
  <si>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</si>
  <si>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</si>
  <si>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</si>
  <si>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</si>
  <si>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</si>
  <si>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</si>
  <si>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</si>
  <si>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</si>
  <si>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</si>
  <si>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</si>
  <si>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</si>
  <si>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</si>
  <si>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</si>
  <si>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</si>
  <si>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</si>
  <si>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</si>
  <si>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</si>
  <si>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</si>
  <si>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</si>
  <si>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</si>
  <si>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</si>
  <si>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</si>
  <si>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</si>
  <si>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</si>
  <si>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</si>
  <si>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</si>
  <si>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</si>
  <si>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</si>
  <si>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</si>
  <si>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</si>
  <si>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</si>
  <si>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</si>
  <si>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</si>
  <si>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</si>
  <si>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</si>
  <si>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</si>
  <si>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</si>
  <si>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</si>
  <si>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</si>
  <si>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</si>
  <si>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</si>
  <si>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</si>
  <si>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</si>
  <si>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</si>
  <si>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</si>
  <si>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</si>
  <si>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</si>
  <si>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</si>
  <si>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</si>
  <si>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</si>
  <si>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</si>
  <si>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</si>
  <si>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</si>
  <si>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</si>
  <si>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</si>
  <si>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</si>
  <si>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</si>
  <si>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</si>
  <si>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</si>
  <si>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</si>
  <si>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</si>
  <si>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</si>
  <si>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</si>
  <si>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</si>
  <si>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</si>
  <si>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</si>
  <si>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</si>
  <si>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</si>
  <si>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</si>
  <si>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</si>
  <si>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</si>
  <si>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</si>
  <si>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</si>
  <si>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</si>
  <si>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</si>
  <si>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</si>
  <si>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</si>
  <si>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</si>
  <si>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</si>
  <si>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</si>
  <si>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</si>
  <si>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</si>
  <si>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</si>
  <si>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</si>
  <si>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</si>
  <si>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</si>
  <si>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</si>
  <si>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</si>
  <si>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</si>
  <si>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</si>
  <si>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</si>
  <si>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</si>
  <si>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</si>
  <si>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</si>
  <si>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</si>
  <si>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</si>
  <si>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</si>
  <si>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</si>
  <si>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</si>
  <si>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</si>
  <si>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</si>
  <si>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</si>
  <si>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</si>
  <si>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</si>
  <si>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</si>
  <si>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</si>
  <si>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</si>
  <si>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</si>
  <si>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</si>
  <si>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</si>
  <si>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</si>
  <si>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</si>
  <si>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</si>
  <si>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</si>
  <si>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</si>
  <si>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</si>
  <si>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</si>
  <si>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</si>
  <si>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</si>
  <si>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</si>
  <si>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</si>
  <si>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</si>
  <si>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</si>
  <si>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</si>
  <si>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</si>
  <si>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</si>
  <si>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</si>
  <si>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</si>
  <si>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</si>
  <si>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</si>
  <si>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</si>
  <si>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</si>
  <si>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</si>
  <si>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</si>
  <si>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</si>
  <si>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</si>
  <si>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</si>
  <si>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</si>
  <si>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</si>
  <si>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</si>
  <si>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</si>
  <si>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</si>
  <si>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</si>
  <si>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</si>
  <si>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</si>
  <si>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</si>
  <si>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</si>
  <si>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</si>
  <si>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</si>
  <si>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</si>
  <si>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</si>
  <si>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</si>
  <si>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</si>
  <si>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</si>
  <si>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</si>
  <si>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</si>
  <si>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</si>
  <si>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</si>
  <si>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</si>
  <si>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</si>
  <si>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</si>
  <si>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</si>
  <si>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</si>
  <si>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</si>
  <si>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</si>
  <si>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</si>
  <si>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</si>
  <si>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</si>
  <si>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</si>
  <si>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</si>
  <si>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</si>
  <si>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</si>
  <si>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</si>
  <si>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</si>
  <si>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</si>
  <si>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</si>
  <si>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</si>
  <si>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</si>
  <si>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</si>
  <si>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</si>
  <si>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</si>
  <si>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</si>
  <si>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</si>
  <si>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</si>
  <si>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</si>
  <si>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</si>
  <si>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</si>
  <si>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</si>
  <si>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</si>
  <si>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</si>
  <si>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</si>
  <si>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</si>
  <si>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</si>
  <si>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</si>
  <si>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</si>
  <si>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</si>
  <si>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</si>
  <si>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</si>
  <si>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</si>
  <si>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</si>
  <si>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</si>
  <si>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</si>
  <si>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</si>
  <si>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</si>
  <si>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</si>
  <si>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</si>
  <si>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</si>
  <si>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</si>
  <si>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</si>
  <si>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</si>
  <si>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</si>
  <si>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</si>
  <si>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</si>
  <si>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</si>
  <si>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</si>
  <si>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</si>
  <si>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</si>
  <si>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</si>
  <si>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</si>
  <si>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</si>
  <si>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</si>
  <si>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</si>
  <si>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</si>
  <si>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</si>
  <si>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</si>
  <si>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</si>
  <si>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</si>
  <si>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</si>
  <si>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</si>
  <si>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</si>
  <si>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</si>
  <si>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</si>
  <si>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</si>
  <si>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</si>
  <si>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</si>
  <si>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</si>
  <si>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</si>
  <si>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</si>
  <si>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</si>
  <si>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</si>
  <si>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</si>
  <si>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</si>
  <si>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</si>
  <si>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</si>
  <si>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</si>
  <si>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</si>
  <si>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</si>
  <si>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</si>
  <si>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</si>
  <si>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</si>
  <si>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</si>
  <si>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</si>
  <si>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</si>
  <si>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</si>
  <si>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</si>
  <si>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</si>
  <si>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</si>
  <si>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</si>
  <si>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</si>
  <si>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</si>
  <si>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</si>
  <si>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</si>
  <si>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</si>
  <si>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</si>
  <si>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</si>
  <si>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</si>
  <si>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</si>
  <si>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</si>
  <si>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</si>
  <si>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</si>
  <si>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</si>
  <si>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</si>
  <si>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</si>
  <si>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</si>
  <si>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</si>
  <si>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</si>
  <si>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</si>
  <si>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</si>
  <si>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</si>
  <si>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</si>
  <si>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</si>
  <si>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</si>
  <si>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</si>
  <si>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</si>
  <si>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</si>
  <si>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</si>
  <si>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</si>
  <si>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</si>
  <si>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</si>
  <si>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</si>
  <si>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</si>
  <si>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</si>
  <si>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</si>
  <si>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</si>
  <si>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</si>
  <si>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</si>
  <si>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</si>
  <si>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</si>
  <si>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</si>
  <si>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</si>
  <si>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</si>
  <si>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</si>
  <si>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</si>
  <si>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</si>
  <si>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</si>
  <si>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</si>
  <si>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</si>
  <si>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</si>
  <si>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</si>
  <si>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</si>
  <si>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</si>
  <si>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</si>
  <si>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</si>
  <si>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</si>
  <si>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</si>
  <si>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</si>
  <si>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</si>
  <si>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</si>
  <si>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</si>
  <si>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</si>
  <si>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</si>
  <si>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</si>
  <si>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</si>
  <si>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</si>
  <si>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</si>
  <si>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</si>
  <si>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</si>
  <si>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</si>
  <si>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</si>
  <si>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</si>
  <si>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</si>
  <si>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</si>
  <si>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</si>
  <si>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</si>
  <si>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</si>
  <si>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</si>
  <si>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</si>
  <si>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</si>
  <si>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</si>
  <si>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</si>
  <si>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</si>
  <si>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</si>
  <si>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</si>
  <si>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</si>
  <si>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</si>
  <si>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</si>
  <si>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</si>
  <si>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</si>
  <si>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</si>
  <si>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</si>
  <si>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</si>
  <si>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</si>
  <si>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</si>
  <si>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</si>
  <si>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</si>
  <si>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</si>
  <si>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</si>
  <si>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</si>
  <si>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</si>
  <si>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</si>
  <si>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</si>
  <si>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</si>
  <si>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</si>
  <si>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</si>
  <si>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</si>
  <si>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</si>
  <si>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</si>
  <si>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</si>
  <si>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</si>
  <si>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</si>
  <si>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</si>
  <si>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</si>
  <si>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</si>
  <si>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</si>
  <si>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</si>
  <si>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</si>
  <si>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</si>
  <si>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</si>
  <si>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</si>
  <si>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</si>
  <si>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</si>
  <si>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</si>
  <si>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</si>
  <si>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</si>
  <si>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</si>
  <si>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</si>
  <si>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</si>
  <si>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</si>
  <si>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</si>
  <si>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</si>
  <si>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</si>
  <si>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</si>
  <si>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</si>
  <si>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</si>
  <si>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</si>
  <si>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</si>
  <si>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</si>
  <si>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</si>
  <si>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</si>
  <si>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</si>
  <si>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</si>
  <si>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</si>
  <si>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</si>
  <si>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</si>
  <si>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</si>
  <si>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</si>
  <si>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</si>
  <si>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</si>
  <si>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</si>
  <si>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</si>
  <si>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</si>
  <si>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</si>
  <si>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</si>
  <si>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</si>
  <si>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</si>
  <si>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</si>
  <si>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</si>
  <si>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</si>
  <si>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</si>
  <si>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</si>
  <si>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</si>
  <si>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</si>
  <si>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</si>
  <si>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</si>
  <si>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</si>
  <si>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</si>
  <si>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</si>
  <si>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</si>
  <si>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</si>
  <si>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</si>
  <si>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</si>
  <si>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</si>
  <si>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</si>
  <si>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</si>
  <si>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</si>
  <si>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</si>
  <si>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</si>
  <si>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</si>
  <si>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</si>
  <si>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</si>
  <si>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</si>
  <si>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</si>
  <si>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</si>
  <si>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</si>
  <si>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</si>
  <si>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</si>
  <si>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</si>
  <si>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</si>
  <si>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</si>
  <si>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</si>
  <si>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</si>
  <si>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</si>
  <si>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</si>
  <si>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</si>
  <si>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</si>
  <si>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</si>
  <si>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</si>
  <si>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</si>
  <si>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</si>
  <si>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</si>
  <si>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</si>
  <si>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</si>
  <si>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</si>
  <si>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</si>
  <si>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</si>
  <si>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</si>
  <si>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</si>
  <si>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</si>
  <si>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</si>
  <si>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</si>
  <si>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</si>
  <si>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</si>
  <si>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</si>
  <si>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</si>
  <si>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</si>
  <si>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</si>
  <si>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</si>
  <si>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</si>
  <si>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</si>
  <si>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</si>
  <si>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</si>
  <si>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</si>
  <si>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</si>
  <si>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</si>
  <si>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</si>
  <si>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</si>
  <si>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</si>
  <si>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</si>
  <si>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</si>
  <si>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</si>
  <si>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</si>
  <si>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</si>
  <si>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</si>
  <si>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</si>
  <si>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</si>
  <si>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</si>
  <si>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</si>
  <si>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</si>
  <si>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</si>
  <si>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</si>
  <si>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</si>
  <si>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</si>
  <si>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</si>
  <si>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</si>
  <si>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</si>
  <si>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</si>
  <si>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</si>
  <si>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</si>
  <si>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</si>
  <si>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</si>
  <si>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</si>
  <si>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</si>
  <si>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</si>
  <si>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</si>
  <si>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</si>
  <si>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</si>
  <si>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</si>
  <si>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</si>
  <si>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</si>
  <si>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</si>
  <si>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</si>
  <si>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</si>
  <si>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</si>
  <si>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</si>
  <si>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</si>
  <si>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</si>
  <si>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</si>
  <si>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</si>
  <si>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</si>
  <si>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</si>
  <si>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</si>
  <si>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</si>
  <si>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</si>
  <si>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</si>
  <si>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</si>
  <si>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</si>
  <si>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</si>
  <si>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</si>
  <si>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</si>
  <si>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</si>
  <si>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</si>
  <si>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</si>
  <si>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</si>
  <si>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</si>
  <si>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</si>
  <si>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</si>
  <si>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</si>
  <si>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</si>
  <si>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</si>
  <si>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</si>
  <si>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</si>
  <si>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</si>
  <si>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</si>
  <si>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</si>
  <si>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</si>
  <si>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</si>
  <si>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</si>
  <si>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</si>
  <si>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</si>
  <si>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</si>
  <si>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</si>
  <si>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</si>
  <si>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</si>
  <si>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</si>
  <si>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</si>
  <si>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</si>
  <si>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</si>
  <si>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</si>
  <si>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</si>
  <si>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</si>
  <si>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</si>
  <si>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</si>
  <si>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</si>
  <si>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</si>
  <si>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</si>
  <si>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</si>
  <si>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</si>
  <si>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</si>
  <si>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</si>
  <si>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</si>
  <si>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</si>
  <si>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</si>
  <si>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</si>
  <si>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</si>
  <si>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</si>
  <si>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</si>
  <si>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</si>
  <si>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</si>
  <si>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</si>
  <si>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</si>
  <si>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</si>
  <si>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</si>
  <si>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</si>
  <si>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</si>
  <si>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</si>
  <si>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</si>
  <si>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</si>
  <si>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</si>
  <si>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</si>
  <si>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</si>
  <si>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</si>
  <si>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</si>
  <si>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</si>
  <si>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</si>
  <si>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</si>
  <si>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</si>
  <si>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</si>
  <si>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</si>
  <si>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</si>
  <si>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</si>
  <si>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</si>
  <si>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</si>
  <si>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</si>
  <si>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</si>
  <si>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</si>
  <si>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</si>
  <si>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</si>
  <si>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</si>
  <si>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</si>
  <si>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</si>
  <si>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</si>
  <si>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</si>
  <si>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</si>
  <si>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</si>
  <si>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</si>
  <si>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</si>
  <si>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</si>
  <si>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</si>
  <si>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</si>
  <si>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</si>
  <si>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</si>
  <si>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</si>
  <si>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</si>
  <si>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</si>
  <si>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</si>
  <si>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</si>
  <si>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</si>
  <si>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</si>
  <si>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</si>
  <si>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</si>
  <si>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</si>
  <si>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</si>
  <si>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</si>
  <si>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</si>
  <si>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</si>
  <si>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</si>
  <si>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</si>
  <si>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</si>
  <si>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</si>
  <si>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</si>
  <si>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</si>
  <si>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</si>
  <si>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</si>
  <si>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</si>
  <si>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</si>
  <si>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</si>
  <si>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</si>
  <si>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</si>
  <si>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</si>
  <si>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</si>
  <si>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</si>
  <si>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</si>
  <si>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</si>
  <si>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</si>
  <si>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</si>
  <si>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</si>
  <si>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</si>
  <si>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</si>
  <si>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</si>
  <si>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</si>
  <si>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</si>
  <si>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</si>
  <si>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</si>
  <si>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</si>
  <si>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</si>
  <si>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</si>
  <si>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</si>
  <si>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</si>
  <si>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</si>
  <si>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</si>
  <si>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</si>
  <si>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</si>
  <si>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</si>
  <si>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</si>
  <si>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</si>
  <si>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</si>
  <si>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</si>
  <si>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</si>
  <si>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</si>
  <si>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</si>
  <si>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</si>
  <si>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</si>
  <si>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</si>
  <si>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</si>
  <si>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</si>
  <si>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</si>
  <si>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</si>
  <si>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</si>
  <si>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</si>
  <si>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</si>
  <si>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</si>
  <si>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</si>
  <si>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</si>
  <si>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</si>
  <si>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</si>
  <si>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</si>
  <si>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</si>
  <si>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</si>
  <si>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</si>
  <si>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</si>
  <si>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</si>
  <si>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</si>
  <si>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</si>
  <si>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</si>
  <si>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</si>
  <si>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</si>
  <si>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</si>
  <si>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</si>
  <si>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</si>
  <si>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</si>
  <si>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</si>
  <si>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</si>
  <si>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</si>
  <si>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</si>
  <si>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</si>
  <si>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</si>
  <si>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</si>
  <si>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</si>
  <si>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</si>
  <si>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</si>
  <si>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</si>
  <si>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</si>
  <si>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</si>
  <si>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</si>
  <si>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</si>
  <si>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</si>
  <si>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</si>
  <si>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</si>
  <si>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</si>
  <si>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</si>
  <si>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</si>
  <si>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</si>
  <si>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</si>
  <si>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</si>
  <si>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</si>
  <si>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</si>
  <si>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</si>
  <si>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</si>
  <si>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</si>
  <si>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</si>
  <si>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</si>
  <si>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</si>
  <si>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</si>
  <si>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</si>
  <si>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</si>
  <si>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</si>
  <si>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</si>
  <si>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</si>
  <si>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</si>
  <si>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</si>
  <si>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</si>
  <si>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</si>
  <si>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</si>
  <si>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</si>
  <si>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</si>
  <si>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</si>
  <si>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</si>
  <si>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</si>
  <si>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</si>
  <si>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</si>
  <si>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</si>
  <si>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</si>
  <si>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</si>
  <si>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</si>
  <si>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</si>
  <si>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</si>
  <si>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</si>
  <si>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</si>
  <si>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</si>
  <si>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</si>
  <si>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</si>
  <si>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</si>
  <si>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</si>
  <si>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</si>
  <si>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</si>
  <si>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</si>
  <si>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</si>
  <si>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</si>
  <si>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</si>
  <si>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</si>
  <si>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</si>
  <si>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</si>
  <si>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</si>
  <si>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</si>
  <si>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</si>
  <si>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</si>
  <si>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</si>
  <si>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</si>
  <si>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</si>
  <si>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</si>
  <si>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</si>
  <si>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</si>
  <si>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</si>
  <si>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</si>
  <si>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</si>
  <si>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</si>
  <si>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</si>
  <si>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</si>
  <si>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</si>
  <si>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</si>
  <si>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</si>
  <si>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</si>
  <si>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</si>
  <si>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</si>
  <si>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</si>
  <si>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</si>
  <si>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</si>
  <si>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</si>
  <si>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</si>
  <si>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</si>
  <si>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</si>
  <si>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</si>
  <si>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</si>
  <si>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</si>
  <si>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</si>
  <si>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</si>
  <si>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</si>
  <si>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</si>
  <si>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</si>
  <si>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</si>
  <si>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</si>
  <si>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</si>
  <si>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</si>
  <si>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</si>
  <si>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</si>
  <si>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</si>
  <si>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</si>
  <si>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</si>
  <si>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</si>
  <si>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</si>
  <si>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</si>
  <si>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</si>
  <si>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</si>
  <si>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</si>
  <si>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</si>
  <si>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</si>
  <si>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</si>
  <si>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</si>
  <si>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</si>
  <si>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</si>
  <si>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</si>
  <si>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</si>
  <si>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</si>
  <si>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</si>
  <si>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</si>
  <si>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</si>
  <si>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</si>
  <si>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</si>
  <si>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</si>
  <si>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</si>
  <si>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</si>
  <si>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</si>
  <si>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</si>
  <si>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</si>
  <si>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</si>
  <si>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</si>
  <si>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</si>
  <si>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</si>
  <si>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</si>
  <si>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</si>
  <si>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</si>
  <si>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</si>
  <si>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</si>
  <si>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</si>
  <si>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</si>
  <si>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</si>
  <si>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</si>
  <si>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</si>
  <si>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</si>
  <si>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</si>
  <si>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</si>
  <si>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</si>
  <si>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</si>
  <si>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</si>
  <si>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</si>
  <si>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</si>
  <si>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</si>
  <si>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</si>
  <si>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</si>
  <si>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</si>
  <si>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</si>
  <si>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</si>
  <si>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</si>
  <si>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</si>
  <si>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</si>
  <si>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</si>
  <si>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</si>
  <si>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</si>
  <si>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</si>
  <si>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</si>
  <si>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</si>
  <si>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</si>
  <si>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</si>
  <si>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</si>
  <si>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</si>
  <si>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</si>
  <si>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</si>
  <si>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</si>
  <si>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</si>
  <si>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</si>
  <si>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</si>
  <si>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</si>
  <si>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</si>
  <si>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</si>
  <si>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</si>
  <si>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</si>
  <si>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</si>
  <si>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</si>
  <si>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</si>
  <si>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</si>
  <si>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</si>
  <si>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</si>
  <si>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</si>
  <si>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</si>
  <si>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</si>
  <si>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</si>
  <si>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</si>
  <si>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</si>
  <si>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</si>
  <si>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</si>
  <si>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</si>
  <si>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</si>
  <si>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</si>
  <si>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</si>
  <si>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</si>
  <si>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</si>
  <si>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</si>
  <si>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</si>
  <si>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</si>
  <si>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</si>
  <si>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</si>
  <si>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</si>
  <si>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</si>
  <si>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</si>
  <si>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</si>
  <si>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</si>
  <si>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</si>
  <si>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</si>
  <si>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</si>
  <si>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</si>
  <si>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</si>
  <si>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</si>
  <si>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</si>
  <si>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</si>
  <si>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</si>
  <si>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</si>
  <si>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</si>
  <si>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</si>
  <si>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</si>
  <si>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</si>
  <si>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</si>
  <si>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</si>
  <si>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</si>
  <si>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</si>
  <si>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</si>
  <si>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</si>
  <si>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</si>
  <si>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</si>
  <si>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</si>
  <si>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</si>
  <si>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</si>
  <si>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</si>
  <si>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</si>
  <si>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</si>
  <si>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</si>
  <si>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</si>
  <si>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</si>
  <si>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</si>
  <si>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</si>
  <si>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</si>
  <si>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</si>
  <si>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</si>
  <si>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</si>
  <si>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</si>
  <si>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</si>
  <si>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</si>
  <si>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</si>
  <si>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</si>
  <si>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</si>
  <si>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</si>
  <si>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</si>
  <si>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</si>
  <si>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</si>
  <si>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</si>
  <si>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</si>
  <si>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</si>
  <si>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</si>
  <si>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</si>
  <si>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</si>
  <si>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</si>
  <si>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</si>
  <si>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</si>
  <si>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</si>
  <si>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</si>
  <si>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</si>
  <si>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</si>
  <si>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</si>
  <si>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</si>
  <si>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</si>
  <si>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</si>
  <si>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</si>
  <si>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</si>
  <si>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</si>
  <si>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</si>
  <si>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</si>
  <si>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</si>
  <si>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</si>
  <si>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</si>
  <si>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</si>
  <si>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</si>
  <si>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</si>
  <si>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</si>
  <si>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</si>
  <si>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</si>
  <si>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</si>
  <si>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</si>
  <si>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</si>
  <si>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</si>
  <si>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</si>
  <si>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</si>
  <si>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</si>
  <si>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</si>
  <si>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</si>
  <si>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</si>
  <si>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</si>
  <si>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</si>
  <si>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</si>
  <si>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</si>
  <si>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</si>
  <si>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</si>
  <si>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</si>
  <si>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</si>
  <si>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</si>
  <si>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</si>
  <si>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</si>
  <si>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</si>
  <si>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</si>
  <si>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</si>
  <si>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</si>
  <si>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</si>
  <si>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</si>
  <si>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</si>
  <si>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</si>
  <si>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</si>
  <si>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</si>
  <si>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</si>
  <si>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</si>
  <si>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</si>
  <si>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</si>
  <si>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</si>
  <si>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</si>
  <si>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</si>
  <si>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</si>
  <si>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</si>
  <si>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</si>
  <si>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</si>
  <si>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</si>
  <si>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</si>
  <si>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</si>
  <si>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</si>
  <si>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</si>
  <si>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</si>
  <si>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</si>
  <si>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</si>
  <si>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</si>
  <si>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</si>
  <si>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</si>
  <si>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</si>
  <si>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</si>
  <si>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</si>
  <si>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</si>
  <si>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</si>
  <si>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</si>
  <si>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</si>
  <si>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</si>
  <si>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</si>
  <si>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</si>
  <si>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</si>
  <si>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</si>
  <si>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</si>
  <si>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</si>
  <si>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</si>
  <si>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</si>
  <si>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</si>
  <si>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</si>
  <si>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</si>
  <si>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</si>
  <si>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</si>
  <si>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</si>
  <si>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</si>
  <si>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</si>
  <si>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</si>
  <si>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</si>
  <si>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</si>
  <si>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</si>
  <si>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</si>
  <si>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</si>
  <si>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</si>
  <si>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</si>
  <si>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</si>
  <si>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</si>
  <si>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</si>
  <si>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</si>
  <si>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</si>
  <si>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</si>
  <si>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</si>
  <si>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</si>
  <si>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</si>
  <si>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</si>
  <si>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</si>
  <si>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</si>
  <si>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</si>
  <si>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</si>
  <si>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</si>
  <si>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</si>
  <si>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</si>
  <si>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</si>
  <si>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</si>
  <si>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</si>
  <si>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</si>
  <si>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</si>
  <si>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</si>
  <si>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</si>
  <si>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</si>
  <si>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</si>
  <si>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</si>
  <si>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</si>
  <si>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</si>
  <si>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</si>
  <si>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</si>
  <si>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</si>
  <si>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</si>
  <si>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</si>
  <si>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</si>
  <si>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</si>
  <si>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</si>
  <si>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</si>
  <si>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</si>
  <si>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</si>
  <si>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</si>
  <si>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</si>
  <si>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</si>
  <si>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</si>
  <si>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</si>
  <si>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</si>
  <si>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</si>
  <si>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</si>
  <si>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</si>
  <si>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</si>
  <si>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</si>
  <si>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</si>
  <si>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</si>
  <si>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</si>
  <si>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</si>
  <si>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</si>
  <si>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</si>
  <si>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</si>
  <si>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</si>
  <si>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</si>
  <si>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</si>
  <si>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</si>
  <si>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</si>
  <si>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</si>
  <si>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</si>
  <si>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</si>
  <si>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</si>
  <si>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</si>
  <si>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</si>
  <si>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</si>
  <si>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</si>
  <si>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</si>
  <si>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</si>
  <si>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</si>
  <si>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</si>
  <si>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</si>
  <si>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</si>
  <si>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</si>
  <si>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</si>
  <si>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</si>
  <si>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</si>
  <si>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</si>
  <si>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</si>
  <si>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</si>
  <si>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</si>
  <si>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</si>
  <si>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</si>
  <si>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</si>
  <si>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</si>
  <si>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</si>
  <si>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</si>
  <si>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</si>
  <si>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</si>
  <si>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</si>
  <si>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</si>
  <si>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</si>
  <si>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</si>
  <si>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</si>
  <si>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</si>
  <si>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</si>
  <si>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</si>
  <si>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</si>
  <si>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</si>
  <si>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</si>
  <si>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</si>
  <si>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</si>
  <si>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</si>
  <si>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</si>
  <si>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</si>
  <si>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</si>
  <si>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</si>
  <si>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</si>
  <si>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</si>
  <si>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</si>
  <si>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</si>
  <si>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</si>
  <si>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</si>
  <si>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</si>
  <si>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</si>
  <si>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</si>
  <si>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</si>
  <si>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</si>
  <si>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</si>
  <si>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</si>
  <si>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</si>
  <si>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</si>
  <si>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</si>
  <si>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</si>
  <si>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</si>
  <si>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</si>
  <si>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</si>
  <si>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</si>
  <si>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</si>
  <si>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</si>
  <si>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</si>
  <si>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</si>
  <si>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</si>
  <si>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</si>
  <si>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</si>
  <si>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</si>
  <si>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</si>
  <si>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</si>
  <si>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</si>
  <si>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</si>
  <si>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</si>
  <si>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</si>
  <si>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</si>
  <si>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</si>
  <si>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</si>
  <si>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</si>
  <si>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</si>
  <si>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</si>
  <si>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</si>
  <si>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</si>
  <si>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</si>
  <si>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</si>
  <si>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</si>
  <si>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</si>
  <si>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</si>
  <si>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</si>
  <si>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</si>
  <si>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</si>
  <si>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</si>
  <si>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</si>
  <si>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</si>
  <si>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</si>
  <si>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</si>
  <si>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</si>
  <si>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</si>
  <si>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</si>
  <si>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</si>
  <si>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</si>
  <si>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</si>
  <si>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</si>
  <si>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</si>
  <si>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</si>
  <si>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</si>
  <si>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</si>
  <si>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</si>
  <si>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</si>
  <si>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</si>
  <si>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</si>
  <si>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</si>
  <si>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</si>
  <si>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</si>
  <si>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</si>
  <si>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</si>
  <si>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</si>
  <si>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</si>
  <si>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</si>
  <si>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</si>
  <si>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</si>
  <si>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</si>
  <si>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</si>
  <si>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</si>
  <si>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</si>
  <si>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</si>
  <si>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</si>
  <si>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</si>
  <si>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</si>
  <si>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</si>
  <si>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</si>
  <si>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</si>
  <si>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</si>
  <si>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</si>
  <si>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</si>
  <si>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</si>
  <si>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</si>
  <si>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</si>
  <si>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</si>
  <si>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</si>
  <si>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</si>
  <si>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</si>
  <si>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</si>
  <si>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</si>
  <si>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</si>
  <si>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</si>
  <si>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</si>
  <si>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</si>
  <si>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</si>
  <si>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</si>
  <si>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</si>
  <si>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</si>
  <si>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</si>
  <si>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</si>
  <si>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</si>
  <si>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</si>
  <si>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</si>
  <si>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</si>
  <si>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</si>
  <si>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</si>
  <si>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</si>
  <si>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</si>
  <si>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</si>
  <si>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</si>
  <si>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</si>
  <si>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</si>
  <si>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</si>
  <si>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</si>
  <si>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</si>
  <si>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</si>
  <si>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</si>
  <si>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</si>
  <si>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</si>
  <si>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</si>
  <si>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</si>
  <si>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</si>
  <si>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</si>
  <si>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</si>
  <si>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</si>
  <si>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</si>
  <si>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</si>
  <si>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</si>
  <si>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</si>
  <si>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</si>
  <si>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</si>
  <si>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</si>
  <si>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</si>
  <si>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</si>
  <si>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</si>
  <si>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</si>
  <si>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</si>
  <si>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</si>
  <si>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</si>
  <si>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</si>
  <si>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</si>
  <si>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</si>
  <si>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</si>
  <si>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</si>
  <si>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</si>
  <si>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</si>
  <si>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</si>
  <si>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</si>
  <si>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</si>
  <si>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</si>
  <si>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</si>
  <si>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</si>
  <si>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</si>
  <si>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</si>
  <si>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</si>
  <si>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</si>
  <si>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</si>
  <si>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</si>
  <si>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</si>
  <si>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</si>
  <si>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</si>
  <si>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</si>
  <si>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</si>
  <si>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</si>
  <si>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</si>
  <si>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</si>
  <si>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</si>
  <si>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</si>
  <si>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</si>
  <si>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</si>
  <si>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</si>
  <si>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</si>
  <si>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</si>
  <si>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</si>
  <si>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</si>
  <si>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</si>
  <si>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</si>
  <si>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</si>
  <si>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</si>
  <si>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</si>
  <si>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</si>
  <si>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</si>
  <si>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</si>
  <si>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</si>
  <si>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</si>
  <si>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</si>
  <si>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</si>
  <si>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</si>
  <si>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</si>
  <si>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</si>
  <si>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</si>
  <si>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</si>
  <si>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</si>
  <si>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</si>
  <si>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</si>
  <si>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</si>
  <si>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</si>
  <si>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</si>
  <si>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</si>
  <si>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</si>
  <si>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</si>
  <si>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</si>
  <si>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</si>
  <si>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</si>
  <si>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</si>
  <si>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</si>
  <si>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</si>
  <si>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</si>
  <si>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</si>
  <si>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</si>
  <si>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</si>
  <si>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</si>
  <si>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</si>
  <si>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</si>
  <si>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</si>
  <si>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</si>
  <si>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</si>
  <si>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</si>
  <si>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</si>
  <si>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</si>
  <si>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</si>
  <si>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</si>
  <si>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</si>
  <si>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</si>
  <si>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</si>
  <si>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</si>
  <si>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</si>
  <si>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</si>
  <si>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</si>
  <si>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</si>
  <si>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</si>
  <si>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</si>
  <si>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</si>
  <si>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</si>
  <si>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</si>
  <si>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</si>
  <si>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</si>
  <si>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</si>
  <si>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</si>
  <si>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</si>
  <si>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</si>
  <si>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</si>
  <si>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</si>
  <si>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</si>
  <si>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</si>
  <si>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</si>
  <si>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</si>
  <si>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</si>
  <si>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</si>
  <si>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</si>
  <si>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</si>
  <si>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</si>
  <si>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</si>
  <si>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</si>
  <si>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</si>
  <si>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</si>
  <si>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</si>
  <si>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</si>
  <si>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</si>
  <si>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</si>
  <si>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</si>
  <si>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</si>
  <si>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</si>
  <si>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</si>
  <si>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</si>
  <si>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</si>
  <si>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</si>
  <si>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</si>
  <si>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</si>
  <si>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</si>
  <si>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</si>
  <si>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</si>
  <si>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</si>
  <si>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</si>
  <si>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</si>
  <si>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</si>
  <si>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</si>
  <si>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</si>
  <si>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</si>
  <si>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</si>
  <si>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</si>
  <si>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</si>
  <si>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</si>
  <si>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</si>
  <si>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</si>
  <si>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</si>
  <si>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</si>
  <si>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</si>
  <si>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</si>
  <si>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</si>
  <si>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</si>
  <si>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</si>
  <si>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</si>
  <si>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</si>
  <si>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</si>
  <si>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</si>
  <si>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</si>
  <si>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</si>
  <si>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</si>
  <si>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</si>
  <si>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</si>
  <si>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</si>
  <si>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</si>
  <si>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</si>
  <si>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</si>
  <si>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</si>
  <si>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</si>
  <si>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</si>
  <si>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</si>
  <si>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</si>
  <si>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</si>
  <si>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</si>
  <si>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</si>
  <si>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</si>
  <si>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</si>
  <si>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</si>
  <si>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</si>
  <si>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</si>
  <si>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</si>
  <si>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</si>
  <si>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</si>
  <si>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</si>
  <si>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</si>
  <si>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</si>
  <si>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</si>
  <si>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</si>
  <si>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</si>
  <si>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</si>
  <si>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</si>
  <si>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</si>
  <si>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</si>
  <si>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</si>
  <si>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</si>
  <si>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</si>
  <si>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</si>
  <si>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</si>
  <si>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</si>
  <si>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</si>
  <si>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</si>
  <si>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</si>
  <si>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</si>
  <si>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</si>
  <si>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</si>
  <si>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</si>
  <si>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</si>
  <si>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</si>
  <si>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</si>
  <si>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</si>
  <si>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</si>
  <si>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</si>
  <si>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</si>
  <si>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</si>
  <si>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</si>
  <si>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</si>
  <si>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</si>
  <si>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</si>
  <si>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</si>
  <si>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</si>
  <si>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</si>
  <si>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</si>
  <si>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</si>
  <si>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</si>
  <si>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</si>
  <si>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</si>
  <si>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</si>
  <si>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</si>
  <si>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</si>
  <si>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</si>
  <si>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</si>
  <si>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</si>
  <si>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</si>
  <si>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</si>
  <si>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</si>
  <si>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</si>
  <si>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</si>
  <si>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</si>
  <si>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</si>
  <si>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</si>
  <si>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</si>
  <si>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</si>
  <si>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</si>
  <si>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</si>
  <si>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</si>
  <si>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</si>
  <si>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</si>
  <si>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</si>
  <si>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</si>
  <si>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</si>
  <si>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</si>
  <si>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</si>
  <si>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</si>
  <si>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</si>
  <si>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</si>
  <si>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</si>
  <si>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</si>
  <si>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</si>
  <si>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</si>
  <si>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</si>
  <si>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</si>
  <si>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</si>
  <si>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</si>
  <si>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</si>
  <si>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</si>
  <si>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</si>
  <si>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</si>
  <si>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</si>
  <si>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</si>
  <si>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</si>
  <si>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</si>
  <si>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</si>
  <si>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</si>
  <si>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</si>
  <si>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</si>
  <si>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</si>
  <si>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</si>
  <si>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</si>
  <si>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</si>
  <si>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</si>
  <si>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</si>
  <si>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</si>
  <si>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</si>
  <si>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</si>
  <si>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</si>
  <si>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</si>
  <si>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</si>
  <si>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</si>
  <si>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</si>
  <si>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</si>
  <si>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</si>
  <si>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</si>
  <si>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</si>
  <si>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</si>
  <si>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</si>
  <si>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</si>
  <si>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</si>
  <si>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</si>
  <si>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</si>
  <si>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</si>
  <si>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</si>
  <si>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</si>
  <si>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</si>
  <si>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</si>
  <si>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</si>
  <si>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</si>
  <si>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</si>
  <si>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</si>
  <si>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</si>
  <si>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</si>
  <si>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</si>
  <si>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</si>
  <si>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</si>
  <si>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</si>
  <si>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</si>
  <si>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</si>
  <si>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</si>
  <si>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</si>
  <si>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</si>
  <si>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</si>
  <si>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</si>
  <si>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</si>
  <si>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</si>
  <si>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</si>
  <si>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</si>
  <si>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</si>
  <si>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</si>
  <si>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</si>
  <si>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</si>
  <si>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</si>
  <si>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</si>
  <si>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</si>
  <si>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</si>
  <si>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</si>
  <si>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</si>
  <si>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</si>
  <si>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</si>
  <si>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</si>
  <si>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</si>
  <si>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</si>
  <si>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</si>
  <si>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</si>
  <si>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</si>
  <si>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</si>
  <si>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</si>
  <si>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</si>
  <si>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</si>
  <si>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</si>
  <si>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</si>
  <si>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</si>
  <si>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</si>
  <si>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</si>
  <si>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</si>
  <si>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</si>
  <si>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</si>
  <si>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</si>
  <si>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</si>
  <si>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</si>
  <si>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</si>
  <si>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</si>
  <si>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</si>
  <si>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</si>
  <si>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</si>
  <si>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</si>
  <si>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</si>
  <si>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</si>
  <si>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</si>
  <si>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</si>
  <si>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</si>
  <si>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</si>
  <si>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</si>
  <si>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</si>
  <si>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</si>
  <si>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</si>
  <si>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</si>
  <si>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</si>
  <si>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</si>
  <si>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</si>
  <si>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</si>
  <si>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</si>
  <si>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</si>
  <si>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</si>
  <si>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</si>
  <si>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</si>
  <si>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</si>
  <si>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</si>
  <si>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</si>
  <si>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</si>
  <si>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</si>
  <si>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</si>
  <si>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</si>
  <si>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</si>
  <si>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</si>
  <si>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</si>
  <si>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</si>
  <si>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</si>
  <si>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</si>
  <si>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</si>
  <si>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</si>
  <si>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</si>
  <si>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</si>
  <si>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</si>
  <si>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</si>
  <si>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</si>
  <si>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</si>
  <si>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</si>
  <si>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</si>
  <si>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</si>
  <si>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</si>
  <si>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</si>
  <si>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</si>
  <si>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</si>
  <si>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</si>
  <si>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</si>
  <si>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</si>
  <si>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</si>
  <si>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</si>
  <si>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</si>
  <si>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</si>
  <si>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</si>
  <si>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</si>
  <si>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</si>
  <si>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</si>
  <si>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</si>
  <si>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</si>
  <si>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</si>
  <si>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</si>
  <si>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</si>
  <si>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</si>
  <si>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</si>
  <si>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</si>
  <si>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</si>
  <si>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</si>
  <si>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</si>
  <si>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</si>
  <si>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</si>
  <si>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</si>
  <si>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</si>
  <si>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</si>
  <si>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</si>
  <si>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</si>
  <si>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</si>
  <si>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</si>
  <si>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</si>
  <si>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</si>
  <si>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</si>
  <si>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</si>
  <si>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</si>
  <si>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</si>
  <si>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</si>
  <si>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</si>
  <si>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</si>
  <si>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</si>
  <si>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</si>
  <si>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</si>
  <si>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</si>
  <si>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</si>
  <si>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</si>
  <si>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</si>
  <si>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</si>
  <si>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</si>
  <si>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</si>
  <si>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</si>
  <si>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</si>
  <si>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</si>
  <si>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</si>
  <si>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</si>
  <si>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</si>
  <si>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</si>
  <si>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</si>
  <si>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</si>
  <si>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</si>
  <si>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</si>
  <si>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</si>
  <si>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</si>
  <si>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</si>
  <si>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</si>
  <si>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</si>
  <si>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</si>
  <si>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</si>
  <si>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</si>
  <si>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</si>
  <si>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</si>
  <si>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</si>
  <si>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</si>
  <si>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</si>
  <si>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</si>
  <si>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</si>
  <si>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</si>
  <si>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</si>
  <si>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</si>
  <si>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</si>
  <si>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</si>
  <si>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</si>
  <si>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</si>
  <si>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</si>
  <si>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</si>
  <si>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</si>
  <si>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</si>
  <si>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</si>
  <si>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</si>
  <si>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</si>
  <si>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</si>
  <si>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</si>
  <si>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</si>
  <si>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</si>
  <si>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</si>
  <si>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</si>
  <si>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</si>
  <si>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</si>
  <si>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</si>
  <si>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</si>
  <si>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</si>
  <si>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</si>
  <si>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</si>
  <si>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</si>
  <si>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</si>
  <si>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</si>
  <si>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</si>
  <si>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</si>
  <si>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</si>
  <si>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</si>
  <si>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</si>
  <si>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</si>
  <si>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</si>
  <si>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</si>
  <si>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</si>
  <si>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</si>
  <si>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</si>
  <si>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</si>
  <si>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</si>
  <si>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</si>
  <si>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</si>
  <si>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</si>
  <si>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</si>
  <si>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</si>
  <si>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</si>
  <si>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</si>
  <si>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</si>
  <si>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</si>
  <si>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</si>
  <si>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</si>
  <si>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</si>
  <si>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</si>
  <si>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</si>
  <si>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</si>
  <si>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</si>
  <si>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</si>
  <si>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</si>
  <si>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</si>
  <si>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</si>
  <si>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</si>
  <si>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</si>
  <si>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</si>
  <si>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</si>
  <si>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</si>
  <si>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</si>
  <si>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</si>
  <si>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</si>
  <si>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</si>
  <si>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</si>
  <si>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</si>
  <si>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</si>
  <si>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</si>
  <si>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</si>
  <si>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</si>
  <si>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</si>
  <si>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</si>
  <si>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</si>
  <si>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</si>
  <si>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</si>
  <si>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</si>
  <si>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</si>
  <si>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</si>
  <si>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</si>
  <si>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</si>
  <si>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</si>
  <si>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</si>
  <si>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</si>
  <si>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</si>
  <si>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</si>
  <si>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</si>
  <si>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</si>
  <si>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</si>
  <si>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</si>
  <si>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</si>
  <si>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</si>
  <si>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</si>
  <si>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</si>
  <si>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</si>
  <si>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</si>
  <si>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</si>
  <si>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</si>
  <si>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</si>
  <si>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</si>
  <si>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</si>
  <si>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</si>
  <si>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</si>
  <si>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</si>
  <si>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</si>
  <si>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</si>
  <si>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</si>
  <si>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</si>
  <si>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</si>
  <si>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</si>
  <si>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</si>
  <si>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</si>
  <si>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</si>
  <si>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</si>
  <si>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</si>
  <si>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</si>
  <si>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</si>
  <si>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</si>
  <si>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</si>
  <si>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</si>
  <si>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</si>
  <si>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</si>
  <si>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</si>
  <si>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</si>
  <si>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</si>
  <si>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</si>
  <si>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</si>
  <si>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</si>
  <si>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</si>
  <si>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</si>
  <si>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</si>
  <si>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</si>
  <si>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</si>
  <si>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</si>
  <si>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</si>
  <si>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</si>
  <si>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</si>
  <si>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</si>
  <si>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</si>
  <si>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</si>
  <si>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</si>
  <si>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</si>
  <si>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</si>
  <si>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</si>
  <si>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</si>
  <si>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</si>
  <si>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</si>
  <si>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</si>
  <si>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</si>
  <si>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</si>
  <si>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</si>
  <si>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</si>
  <si>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</si>
  <si>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</si>
  <si>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</si>
  <si>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</si>
  <si>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</si>
  <si>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</si>
  <si>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</si>
  <si>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</si>
  <si>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</si>
  <si>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</si>
  <si>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</si>
  <si>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</si>
  <si>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</si>
  <si>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</si>
  <si>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</si>
  <si>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</si>
  <si>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</si>
  <si>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</si>
  <si>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</si>
  <si>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</si>
  <si>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</si>
  <si>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</si>
  <si>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</si>
  <si>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</si>
  <si>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</si>
  <si>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</si>
  <si>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</si>
  <si>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</si>
  <si>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</si>
  <si>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</si>
  <si>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</si>
  <si>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</si>
  <si>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</si>
  <si>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</si>
  <si>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</si>
  <si>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</si>
  <si>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</si>
  <si>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</si>
  <si>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</si>
  <si>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</si>
  <si>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</si>
  <si>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</si>
  <si>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</si>
  <si>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</si>
  <si>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</si>
  <si>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</si>
  <si>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</si>
  <si>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</si>
  <si>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</si>
  <si>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</si>
  <si>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</si>
  <si>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</si>
  <si>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</si>
  <si>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</si>
  <si>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</si>
  <si>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</si>
  <si>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</si>
  <si>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</si>
  <si>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</si>
  <si>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</si>
  <si>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</si>
  <si>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</si>
  <si>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</si>
  <si>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</si>
  <si>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</si>
  <si>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</si>
  <si>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</si>
  <si>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</si>
  <si>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</si>
  <si>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</si>
  <si>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</si>
  <si>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</si>
  <si>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</si>
  <si>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</si>
  <si>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</si>
  <si>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</si>
  <si>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</si>
  <si>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</si>
  <si>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</si>
  <si>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</si>
  <si>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</si>
  <si>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</si>
  <si>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</si>
  <si>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</si>
  <si>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</si>
  <si>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</si>
  <si>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</si>
  <si>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</si>
  <si>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</si>
  <si>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</si>
  <si>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</si>
  <si>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</si>
  <si>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</si>
  <si>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</si>
  <si>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</si>
  <si>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</si>
  <si>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</si>
  <si>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</si>
  <si>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</si>
  <si>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</si>
  <si>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</si>
  <si>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</si>
  <si>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</si>
  <si>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</si>
  <si>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</si>
  <si>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</si>
  <si>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</si>
  <si>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</si>
  <si>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</si>
  <si>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</si>
  <si>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</si>
  <si>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</si>
  <si>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</si>
  <si>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</si>
  <si>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</si>
  <si>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</si>
  <si>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</si>
  <si>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</si>
  <si>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</si>
  <si>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</si>
  <si>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</si>
  <si>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</si>
  <si>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</si>
  <si>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</si>
  <si>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</si>
  <si>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</si>
  <si>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</si>
  <si>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</si>
  <si>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</si>
  <si>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</si>
  <si>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</si>
  <si>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</si>
  <si>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</si>
  <si>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</si>
  <si>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</si>
  <si>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</si>
  <si>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</si>
  <si>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</si>
  <si>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</si>
  <si>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</si>
  <si>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</si>
  <si>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</si>
  <si>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</si>
  <si>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</si>
  <si>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</si>
  <si>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</si>
  <si>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</si>
  <si>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</si>
  <si>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</si>
  <si>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</si>
  <si>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</si>
  <si>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</si>
  <si>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</si>
  <si>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</si>
  <si>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</si>
  <si>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</si>
  <si>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</si>
  <si>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</si>
  <si>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</si>
  <si>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</si>
  <si>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</si>
  <si>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</si>
  <si>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</si>
  <si>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</si>
  <si>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</si>
  <si>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</si>
  <si>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</si>
  <si>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</si>
  <si>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</si>
  <si>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</si>
  <si>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</si>
  <si>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</si>
  <si>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</si>
  <si>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</si>
  <si>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</si>
  <si>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</si>
  <si>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</si>
  <si>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</si>
  <si>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</si>
  <si>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</si>
  <si>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</si>
  <si>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</si>
  <si>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</si>
  <si>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</si>
  <si>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</si>
  <si>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</si>
  <si>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</si>
  <si>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</si>
  <si>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</si>
  <si>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</si>
  <si>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</si>
  <si>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</si>
  <si>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</si>
  <si>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</si>
  <si>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</si>
  <si>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</si>
  <si>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</si>
  <si>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</si>
  <si>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</si>
  <si>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</si>
  <si>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</si>
  <si>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</si>
  <si>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</si>
  <si>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</si>
  <si>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</si>
  <si>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</si>
  <si>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</si>
  <si>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</si>
  <si>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</si>
  <si>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</si>
  <si>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</si>
  <si>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</si>
  <si>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</si>
  <si>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</si>
  <si>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</si>
  <si>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</si>
  <si>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</si>
  <si>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</si>
  <si>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</si>
  <si>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</si>
  <si>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</si>
  <si>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</si>
  <si>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</si>
  <si>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</si>
  <si>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</si>
  <si>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</si>
  <si>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</si>
  <si>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</si>
  <si>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</si>
  <si>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</si>
  <si>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</si>
  <si>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</si>
  <si>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</si>
  <si>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</si>
  <si>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</si>
  <si>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</si>
  <si>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</si>
  <si>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</si>
  <si>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</si>
  <si>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</si>
  <si>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</si>
  <si>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</si>
  <si>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</si>
  <si>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</si>
  <si>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</si>
  <si>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</si>
  <si>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</si>
  <si>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</si>
  <si>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</si>
  <si>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</si>
  <si>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</si>
  <si>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</si>
  <si>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</si>
  <si>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</si>
  <si>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</si>
  <si>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</si>
  <si>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</si>
  <si>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</si>
  <si>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</si>
  <si>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</si>
  <si>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</si>
  <si>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</si>
  <si>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</si>
  <si>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</si>
  <si>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</si>
  <si>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</si>
  <si>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</si>
  <si>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</si>
  <si>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</si>
  <si>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</si>
  <si>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</si>
  <si>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</si>
  <si>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</si>
  <si>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</si>
  <si>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</si>
  <si>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</si>
  <si>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</si>
  <si>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</si>
  <si>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</si>
  <si>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</si>
  <si>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</si>
  <si>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</si>
  <si>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</si>
  <si>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</si>
  <si>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</si>
  <si>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</si>
  <si>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</si>
  <si>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</si>
  <si>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</si>
  <si>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</si>
  <si>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</si>
  <si>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</si>
  <si>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</si>
  <si>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</si>
  <si>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</si>
  <si>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</si>
  <si>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</si>
  <si>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</si>
  <si>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</si>
  <si>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</si>
  <si>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</si>
  <si>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</si>
  <si>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</si>
  <si>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</si>
  <si>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</si>
  <si>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</si>
  <si>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</si>
  <si>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</si>
  <si>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</si>
  <si>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</si>
  <si>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</si>
  <si>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</si>
  <si>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</si>
  <si>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</si>
  <si>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</si>
  <si>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</si>
  <si>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</si>
  <si>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</si>
  <si>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</si>
  <si>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</si>
  <si>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</si>
  <si>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</si>
  <si>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</si>
  <si>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</si>
  <si>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</si>
  <si>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</si>
  <si>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</si>
  <si>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</si>
  <si>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</si>
  <si>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</si>
  <si>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</si>
  <si>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</si>
  <si>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</si>
  <si>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</si>
  <si>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</si>
  <si>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</si>
  <si>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</si>
  <si>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</si>
  <si>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</si>
  <si>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</si>
  <si>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</si>
  <si>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</si>
  <si>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</si>
  <si>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</si>
  <si>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</si>
  <si>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</si>
  <si>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</si>
  <si>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</si>
  <si>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</si>
  <si>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</si>
  <si>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</si>
  <si>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</si>
  <si>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</si>
  <si>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</si>
  <si>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</si>
  <si>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</si>
  <si>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</si>
  <si>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</si>
  <si>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</si>
  <si>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</si>
  <si>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</si>
  <si>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</si>
  <si>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</si>
  <si>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</si>
  <si>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</si>
  <si>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</si>
  <si>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</si>
  <si>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</si>
  <si>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</si>
  <si>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</si>
  <si>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</si>
  <si>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</si>
  <si>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</si>
  <si>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</si>
  <si>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</si>
  <si>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</si>
  <si>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</si>
  <si>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</si>
  <si>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</si>
  <si>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</si>
  <si>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</si>
  <si>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</si>
  <si>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</si>
  <si>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</si>
  <si>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</si>
  <si>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</si>
  <si>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</si>
  <si>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</si>
  <si>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</si>
  <si>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</si>
  <si>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</si>
  <si>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</si>
  <si>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</si>
  <si>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</si>
  <si>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</si>
  <si>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</si>
  <si>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</si>
  <si>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</si>
  <si>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</si>
  <si>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</si>
  <si>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</si>
  <si>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</si>
  <si>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</si>
  <si>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</si>
  <si>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</si>
  <si>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</si>
  <si>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</si>
  <si>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</si>
  <si>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</si>
  <si>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</si>
  <si>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</si>
  <si>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</si>
  <si>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</si>
  <si>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</si>
  <si>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</si>
  <si>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</si>
  <si>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</si>
  <si>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</si>
  <si>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</si>
  <si>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</si>
  <si>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</si>
  <si>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</si>
  <si>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</si>
  <si>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</si>
  <si>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</si>
  <si>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</si>
  <si>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</si>
  <si>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</si>
  <si>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</si>
  <si>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</si>
  <si>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</si>
  <si>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</si>
  <si>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</si>
  <si>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</si>
  <si>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</si>
  <si>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</si>
  <si>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</si>
  <si>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</si>
  <si>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</si>
  <si>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</si>
  <si>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</si>
  <si>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</si>
  <si>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</si>
  <si>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</si>
  <si>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</si>
  <si>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</si>
  <si>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</si>
  <si>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</si>
  <si>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</si>
  <si>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</si>
  <si>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</si>
  <si>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</si>
  <si>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</si>
  <si>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</si>
  <si>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</si>
  <si>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</si>
  <si>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</si>
  <si>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</si>
  <si>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</si>
  <si>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</si>
  <si>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</si>
  <si>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</si>
  <si>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</si>
  <si>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</si>
  <si>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</si>
  <si>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</si>
  <si>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</si>
  <si>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</si>
  <si>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</si>
  <si>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</si>
  <si>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</si>
  <si>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</si>
  <si>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</si>
  <si>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</si>
  <si>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</si>
  <si>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</si>
  <si>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</si>
  <si>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</si>
  <si>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</si>
  <si>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</si>
  <si>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</si>
  <si>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</si>
  <si>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</si>
  <si>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</si>
  <si>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</si>
  <si>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</si>
  <si>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</si>
  <si>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</si>
  <si>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</si>
  <si>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</si>
  <si>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</si>
  <si>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</si>
  <si>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</si>
  <si>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</si>
  <si>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</si>
  <si>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</si>
  <si>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</si>
  <si>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</si>
  <si>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</si>
  <si>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</si>
  <si>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</si>
  <si>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</si>
  <si>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</si>
  <si>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</si>
  <si>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</si>
  <si>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</si>
  <si>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</si>
  <si>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</si>
  <si>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</si>
  <si>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</si>
  <si>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</si>
  <si>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</si>
  <si>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</si>
  <si>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</si>
  <si>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</si>
  <si>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</si>
  <si>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</si>
  <si>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</si>
  <si>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</si>
  <si>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</si>
  <si>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</si>
  <si>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</si>
  <si>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</si>
  <si>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</si>
  <si>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</si>
  <si>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</si>
  <si>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</si>
  <si>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</si>
  <si>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</si>
  <si>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</si>
  <si>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</si>
  <si>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</si>
  <si>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</si>
  <si>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</si>
  <si>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</si>
  <si>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</si>
  <si>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</si>
  <si>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</si>
  <si>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</si>
  <si>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</si>
  <si>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</si>
  <si>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</si>
  <si>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</si>
  <si>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</si>
  <si>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</si>
  <si>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</si>
  <si>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</si>
  <si>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</si>
  <si>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</si>
  <si>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</si>
  <si>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</si>
  <si>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</si>
  <si>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</si>
  <si>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</si>
  <si>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</si>
  <si>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</si>
  <si>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</si>
  <si>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</si>
  <si>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</si>
  <si>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</si>
  <si>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</si>
  <si>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</si>
  <si>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</si>
  <si>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</si>
  <si>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</si>
  <si>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</si>
  <si>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</si>
  <si>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</si>
  <si>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</si>
  <si>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</si>
  <si>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</si>
  <si>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</si>
  <si>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</si>
  <si>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</si>
  <si>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</si>
  <si>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</si>
  <si>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</si>
  <si>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</si>
  <si>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</si>
  <si>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</si>
  <si>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</si>
  <si>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</si>
  <si>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</si>
  <si>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</si>
  <si>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</si>
  <si>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</si>
  <si>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</si>
  <si>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</si>
  <si>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</si>
  <si>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</si>
  <si>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</si>
  <si>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</si>
  <si>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</si>
  <si>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</si>
  <si>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</si>
  <si>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</si>
  <si>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</si>
  <si>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</si>
  <si>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</si>
  <si>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</si>
  <si>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</si>
  <si>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</si>
  <si>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</si>
  <si>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</si>
  <si>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</si>
  <si>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</si>
  <si>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</si>
  <si>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</si>
  <si>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</si>
  <si>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</si>
  <si>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</si>
  <si>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</si>
  <si>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</si>
  <si>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</si>
  <si>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</si>
  <si>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</si>
  <si>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</si>
  <si>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</si>
  <si>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</si>
  <si>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</si>
  <si>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</si>
  <si>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</si>
  <si>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</si>
  <si>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</si>
  <si>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</si>
  <si>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</si>
  <si>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</si>
  <si>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</si>
  <si>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</si>
  <si>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</si>
  <si>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</si>
  <si>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</si>
  <si>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</si>
  <si>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</si>
  <si>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</si>
  <si>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</si>
  <si>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</si>
  <si>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</si>
  <si>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</si>
  <si>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</si>
  <si>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</si>
  <si>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</si>
  <si>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</si>
  <si>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</si>
  <si>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</si>
  <si>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</si>
  <si>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</si>
  <si>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</si>
  <si>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</si>
  <si>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</si>
  <si>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</si>
  <si>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</si>
  <si>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</si>
  <si>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</si>
  <si>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</si>
  <si>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</si>
  <si>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</si>
  <si>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</si>
  <si>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</si>
  <si>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</si>
  <si>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</si>
  <si>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</si>
  <si>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</si>
  <si>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</si>
  <si>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</si>
  <si>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</si>
  <si>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</si>
  <si>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</si>
  <si>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</si>
  <si>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</si>
  <si>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</si>
  <si>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</si>
  <si>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</si>
  <si>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</si>
  <si>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</si>
  <si>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</si>
  <si>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</si>
  <si>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</si>
  <si>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</si>
  <si>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</si>
  <si>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</si>
  <si>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</si>
  <si>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</si>
  <si>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</si>
  <si>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</si>
  <si>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</si>
  <si>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</si>
  <si>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</si>
  <si>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</si>
  <si>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</si>
  <si>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</si>
  <si>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</si>
  <si>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</si>
  <si>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</si>
  <si>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</si>
  <si>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</si>
  <si>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</si>
  <si>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</si>
  <si>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</si>
  <si>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</si>
  <si>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</si>
  <si>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</si>
  <si>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</si>
  <si>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</si>
  <si>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</si>
  <si>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</si>
  <si>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</si>
  <si>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</si>
  <si>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</si>
  <si>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</si>
  <si>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</si>
  <si>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</si>
  <si>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</si>
  <si>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</si>
  <si>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</si>
  <si>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</si>
  <si>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</si>
  <si>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</si>
  <si>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</si>
  <si>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</si>
  <si>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</si>
  <si>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</si>
  <si>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</si>
  <si>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</si>
  <si>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</si>
  <si>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</si>
  <si>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</si>
  <si>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</si>
  <si>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</si>
  <si>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</si>
  <si>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</si>
  <si>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</si>
  <si>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</si>
  <si>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</si>
  <si>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</si>
  <si>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</si>
  <si>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</si>
  <si>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</si>
  <si>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</si>
  <si>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</si>
  <si>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</si>
  <si>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</si>
  <si>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</si>
  <si>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</si>
  <si>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</si>
  <si>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</si>
  <si>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</si>
  <si>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</si>
  <si>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</si>
  <si>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</si>
  <si>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</si>
  <si>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</si>
  <si>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</si>
  <si>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</si>
  <si>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</si>
  <si>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</si>
  <si>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</si>
  <si>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</si>
  <si>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</si>
  <si>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</si>
  <si>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</si>
  <si>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</si>
  <si>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</si>
  <si>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</si>
  <si>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</si>
  <si>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</si>
  <si>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</si>
  <si>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</si>
  <si>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</si>
  <si>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</si>
  <si>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</si>
  <si>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</si>
  <si>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</si>
  <si>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</si>
  <si>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</si>
  <si>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</si>
  <si>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</si>
  <si>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</si>
  <si>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</si>
  <si>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</si>
  <si>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</si>
  <si>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</si>
  <si>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</si>
  <si>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</si>
  <si>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</si>
  <si>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</si>
  <si>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</si>
  <si>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</si>
  <si>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</si>
  <si>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</si>
  <si>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</si>
  <si>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</si>
  <si>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</si>
  <si>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</si>
  <si>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</si>
  <si>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</si>
  <si>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</si>
  <si>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</si>
  <si>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</si>
  <si>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</si>
  <si>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</si>
  <si>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</si>
  <si>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</si>
  <si>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</si>
  <si>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</si>
  <si>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</si>
  <si>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</si>
  <si>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</si>
  <si>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</si>
  <si>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</si>
  <si>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</si>
  <si>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</si>
  <si>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</si>
  <si>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</si>
  <si>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</si>
  <si>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</si>
  <si>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</si>
  <si>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</si>
  <si>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</si>
  <si>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</si>
  <si>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</si>
  <si>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</si>
  <si>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</si>
  <si>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</si>
  <si>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</si>
  <si>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</si>
  <si>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</si>
  <si>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</si>
  <si>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</si>
  <si>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</si>
  <si>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</si>
  <si>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</si>
  <si>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</si>
  <si>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</si>
  <si>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</si>
  <si>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</si>
  <si>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</si>
  <si>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</si>
  <si>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</si>
  <si>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</si>
  <si>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</si>
  <si>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</si>
  <si>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</si>
  <si>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Fisk Alloy, Inc.</t>
  </si>
  <si>
    <t>32470</t>
  </si>
  <si>
    <t>iPoint Conflict Minerals Platform</t>
  </si>
  <si>
    <t>10 Thomas Road N.</t>
  </si>
  <si>
    <t>Joe Rodriguez</t>
  </si>
  <si>
    <t>jrodriguez@fiskalloy.com</t>
  </si>
  <si>
    <t>973-825-8466</t>
  </si>
  <si>
    <t>Jim Mentekidis</t>
  </si>
  <si>
    <t>Vp, Product Management</t>
  </si>
  <si>
    <t>jmentekidis@fiskalloy.com</t>
  </si>
  <si>
    <t>973-825-8439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</si>
</sst>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64"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55" customHeight="1">
      <c r="A29" s="363"/>
      <c r="B29" s="376"/>
      <c r="C29" s="370"/>
      <c r="D29" s="373"/>
      <c r="E29" s="361"/>
      <c r="F29" s="196" t="s">
        <v>61</v>
      </c>
      <c r="G29" s="34"/>
    </row>
    <row r="30" spans="1:7" ht="62.5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B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t="s">
        <v>15609</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15610</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15612</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15613</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15614</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15615</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t="s">
        <v>15616</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44314</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6" sqref="C6"/>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215" t="s">
        <v>1130</v>
      </c>
      <c r="C5" s="219" t="s">
        <v>913</v>
      </c>
      <c r="D5" s="278"/>
      <c r="E5" s="215" t="str">
        <f ca="1">IF(ISERROR($V5),"",OFFSET('Smelter Look-up'!$D$4,$V5-4,0)&amp;"")</f>
        <v>CANADA</v>
      </c>
      <c r="F5" s="215" t="str">
        <f ca="1">IF(ISERROR($V5),"",OFFSET('Smelter Look-up'!$E$4,$V5-4,0))</f>
        <v>CID001534</v>
      </c>
      <c r="G5" s="215" t="str">
        <f ca="1">IF(C5=$X$4,"Enter smelter details",IF(ISERROR($V5),"",OFFSET('Smelter Look-up'!$F$4,$V5-4,0)))</f>
        <v>RMI</v>
      </c>
      <c r="H5" s="216">
        <f ca="1">IF(ISERROR($V5),"",OFFSET('Smelter Look-up'!$G$4,$V5-4,0))</f>
        <v>0</v>
      </c>
      <c r="I5" s="217" t="str">
        <f ca="1">IF(ISERROR($V5),"",OFFSET('Smelter Look-up'!$H$4,$V5-4,0))</f>
        <v>Ottawa</v>
      </c>
      <c r="J5" s="217" t="str">
        <f ca="1">IF(ISERROR($V5),"",OFFSET('Smelter Look-up'!$I$4,$V5-4,0))</f>
        <v>Ontario</v>
      </c>
      <c r="K5" s="268"/>
      <c r="L5" s="268"/>
      <c r="M5" s="268"/>
      <c r="N5" s="268"/>
      <c r="O5" s="268"/>
      <c r="P5" s="218"/>
      <c r="Q5" s="269"/>
      <c r="R5" s="215" t="str">
        <f ca="1">IF(ISERROR($V5),"",OFFSET('Smelter Look-up'!$C$4,$V5-4,0)&amp;"")</f>
        <v>Royal Canadian Mint</v>
      </c>
      <c r="S5" s="222" t="str">
        <f t="shared" ref="S5" ca="1" si="0">IF(B5="","",IF(ISERROR(MATCH($E5,CL,0)),"Unknown",INDIRECT("'C'!$A$"&amp;MATCH($E5,CL,0)+1)))</f>
        <v>CA</v>
      </c>
      <c r="T5" s="222" t="str">
        <f ca="1">IF(B5="","",IF(ISERROR(MATCH($J5,SorP!$B$1:$B$6230,0)),"",INDIRECT("'SorP'!$A$"&amp;MATCH($J5,SorP!$B$1:$B$6230,0))))</f>
        <v>CA-ON</v>
      </c>
      <c r="U5" s="238"/>
      <c r="V5" s="270">
        <f>IF(C5="",NA(),MATCH($B5&amp;$C5,'Smelter Look-up'!$J:$J,0))</f>
        <v>215</v>
      </c>
      <c r="W5" s="271"/>
      <c r="X5" s="271">
        <f t="shared" ref="X5" ca="1" si="1">IF(AND(C5="Smelter not listed",OR(LEN(D5)=0,LEN(E5)=0)),1,0)</f>
        <v>0</v>
      </c>
      <c r="Y5" s="271"/>
      <c r="Z5" s="271"/>
      <c r="AB5" s="273" t="str">
        <f t="shared" ref="AB5" si="2">B5&amp;C5</f>
        <v>GoldRoyal Canadian Mint</v>
      </c>
    </row>
    <row r="6" spans="1:34" s="272" customFormat="1" ht="19.95" customHeight="1">
      <c r="A6" s="324"/>
      <c r="B6" s="215" t="s">
        <v>1131</v>
      </c>
      <c r="C6" s="219" t="s">
        <v>1034</v>
      </c>
      <c r="D6" s="278"/>
      <c r="E6" s="215" t="str">
        <f ca="1">IF(ISERROR($V6),"",OFFSET('Smelter Look-up'!$D$4,$V6-4,0)&amp;"")</f>
        <v>PERU</v>
      </c>
      <c r="F6" s="215" t="str">
        <f ca="1">IF(ISERROR($V6),"",OFFSET('Smelter Look-up'!$E$4,$V6-4,0))</f>
        <v>CID001182</v>
      </c>
      <c r="G6" s="215" t="str">
        <f ca="1">IF(C6=$X$4,"Enter smelter details",IF(ISERROR($V6),"",OFFSET('Smelter Look-up'!$F$4,$V6-4,0)))</f>
        <v>RMI</v>
      </c>
      <c r="H6" s="216">
        <f ca="1">IF(ISERROR($V6),"",OFFSET('Smelter Look-up'!$G$4,$V6-4,0))</f>
        <v>0</v>
      </c>
      <c r="I6" s="217" t="str">
        <f ca="1">IF(ISERROR($V6),"",OFFSET('Smelter Look-up'!$H$4,$V6-4,0))</f>
        <v>Paracas</v>
      </c>
      <c r="J6" s="217" t="str">
        <f ca="1">IF(ISERROR($V6),"",OFFSET('Smelter Look-up'!$I$4,$V6-4,0))</f>
        <v>Ika</v>
      </c>
      <c r="K6" s="268"/>
      <c r="L6" s="268"/>
      <c r="M6" s="268"/>
      <c r="N6" s="268"/>
      <c r="O6" s="268"/>
      <c r="P6" s="218"/>
      <c r="Q6" s="269"/>
      <c r="R6" s="215" t="str">
        <f ca="1">IF(ISERROR($V6),"",OFFSET('Smelter Look-up'!$C$4,$V6-4,0)&amp;"")</f>
        <v>Minsur</v>
      </c>
      <c r="S6" s="222" t="str">
        <f t="shared" ref="S6:S37" ca="1" si="3">IF(B6="","",IF(ISERROR(MATCH($E6,CL,0)),"Unknown",INDIRECT("'C'!$A$"&amp;MATCH($E6,CL,0)+1)))</f>
        <v>PE</v>
      </c>
      <c r="T6" s="222" t="str">
        <f ca="1">IF(B6="","",IF(ISERROR(MATCH($J6,SorP!$B$1:$B$6230,0)),"",INDIRECT("'SorP'!$A$"&amp;MATCH($J6,SorP!$B$1:$B$6230,0))))</f>
        <v>PE-ICA</v>
      </c>
      <c r="U6" s="238"/>
      <c r="V6" s="270">
        <f>IF(C6="",NA(),MATCH($B6&amp;$C6,'Smelter Look-up'!$J:$J,0))</f>
        <v>460</v>
      </c>
      <c r="W6" s="271"/>
      <c r="X6" s="271">
        <f t="shared" ref="X6:X37" ca="1" si="4">IF(AND(C6="Smelter not listed",OR(LEN(D6)=0,LEN(E6)=0)),1,0)</f>
        <v>0</v>
      </c>
      <c r="Y6" s="271"/>
      <c r="Z6" s="271"/>
      <c r="AB6" s="273" t="str">
        <f t="shared" ref="AB6:AB37" si="5">B6&amp;C6</f>
        <v>TinMinsur</v>
      </c>
    </row>
    <row r="7" spans="1:34" s="272" customFormat="1" ht="19.95"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95"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95"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Fisk Alloy,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Joe Rodriguez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jrodriguez@fiskalloy.com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973-825-8466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Jim Mentekidis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jmentekidis@fiskalloy.com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060324a1-f66f-4c36-a8ec-beadbf2f4219"/>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2021-05-20T16:07:54Z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