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autoCompressPictures="0"/>
  <mc:AlternateContent xmlns:mc="http://schemas.openxmlformats.org/markup-compatibility/2006">
    <mc:Choice Requires="x15">
      <x15ac:absPath xmlns:x15ac="http://schemas.microsoft.com/office/spreadsheetml/2010/11/ac" url="R:\COMPLIANCE DOCs\1C_EMRT\"/>
    </mc:Choice>
  </mc:AlternateContent>
  <xr:revisionPtr revIDLastSave="0" documentId="13_ncr:1_{8DCB7E28-849F-47F7-BF1E-F62050A8C924}"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84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c r="V2501" i="5"/>
  <c r="E2501" i="5"/>
  <c r="X2501" i="5"/>
  <c r="V2502" i="5"/>
  <c r="E2502" i="5"/>
  <c r="X2502" i="5"/>
  <c r="V2503" i="5"/>
  <c r="E2503" i="5"/>
  <c r="X2503" i="5"/>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c r="B12" i="5"/>
  <c r="T12" i="5"/>
  <c r="S12" i="5"/>
  <c r="R12" i="5"/>
  <c r="J12" i="5"/>
  <c r="I12" i="5"/>
  <c r="H12" i="5"/>
  <c r="G12" i="5"/>
  <c r="F12" i="5"/>
  <c r="C11" i="5"/>
  <c r="AB11" i="5"/>
  <c r="V11" i="5"/>
  <c r="E11" i="5"/>
  <c r="X11" i="5"/>
  <c r="B11" i="5"/>
  <c r="T11" i="5"/>
  <c r="S11" i="5"/>
  <c r="R11" i="5"/>
  <c r="J11" i="5"/>
  <c r="I11" i="5"/>
  <c r="H11" i="5"/>
  <c r="G11" i="5"/>
  <c r="F11" i="5"/>
  <c r="C10" i="5"/>
  <c r="AB10" i="5"/>
  <c r="V10" i="5"/>
  <c r="E10" i="5"/>
  <c r="X10" i="5"/>
  <c r="B10" i="5"/>
  <c r="T10" i="5"/>
  <c r="S10" i="5"/>
  <c r="R10" i="5"/>
  <c r="J10" i="5"/>
  <c r="I10" i="5"/>
  <c r="H10" i="5"/>
  <c r="G10" i="5"/>
  <c r="F10" i="5"/>
  <c r="C9" i="5"/>
  <c r="AB9" i="5"/>
  <c r="V9" i="5"/>
  <c r="E9" i="5"/>
  <c r="X9" i="5"/>
  <c r="B9" i="5"/>
  <c r="T9" i="5"/>
  <c r="S9" i="5"/>
  <c r="R9" i="5"/>
  <c r="J9" i="5"/>
  <c r="I9" i="5"/>
  <c r="H9" i="5"/>
  <c r="G9" i="5"/>
  <c r="F9" i="5"/>
  <c r="C8" i="5"/>
  <c r="AB8" i="5"/>
  <c r="V8" i="5"/>
  <c r="E8" i="5"/>
  <c r="X8" i="5"/>
  <c r="B8" i="5"/>
  <c r="T8" i="5"/>
  <c r="S8" i="5"/>
  <c r="R8" i="5"/>
  <c r="J8" i="5"/>
  <c r="I8" i="5"/>
  <c r="H8" i="5"/>
  <c r="G8" i="5"/>
  <c r="F8" i="5"/>
  <c r="C7" i="5"/>
  <c r="AB7" i="5"/>
  <c r="V7" i="5"/>
  <c r="E7" i="5"/>
  <c r="X7" i="5"/>
  <c r="B7" i="5"/>
  <c r="T7" i="5"/>
  <c r="S7" i="5"/>
  <c r="R7" i="5"/>
  <c r="J7" i="5"/>
  <c r="I7" i="5"/>
  <c r="H7" i="5"/>
  <c r="G7" i="5"/>
  <c r="F7" i="5"/>
  <c r="AB6" i="5"/>
  <c r="V6" i="5"/>
  <c r="X6" i="5"/>
  <c r="S6" i="5"/>
  <c r="R6" i="5"/>
  <c r="J6" i="5"/>
  <c r="T6" i="5" s="1"/>
  <c r="I6" i="5"/>
  <c r="H6" i="5"/>
  <c r="G6" i="5"/>
  <c r="F6" i="5"/>
  <c r="AB5" i="5"/>
  <c r="V5" i="5"/>
  <c r="X5" i="5"/>
  <c r="S5" i="5"/>
  <c r="R5" i="5"/>
  <c r="J5" i="5"/>
  <c r="T5" i="5" s="1"/>
  <c r="I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F124" i="6"/>
  <c r="D4" i="5"/>
  <c r="E4" i="5"/>
  <c r="B13" i="5"/>
  <c r="V13" i="5"/>
  <c r="E13" i="5"/>
  <c r="B14" i="5"/>
  <c r="V14" i="5"/>
  <c r="E14" i="5"/>
  <c r="B15" i="5"/>
  <c r="V15" i="5"/>
  <c r="E15" i="5"/>
  <c r="B16" i="5"/>
  <c r="V16" i="5"/>
  <c r="E16" i="5"/>
  <c r="B17" i="5"/>
  <c r="V17" i="5"/>
  <c r="E17"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V155" i="5"/>
  <c r="E155"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V190" i="5"/>
  <c r="E190"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V289" i="5"/>
  <c r="E289"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B342" i="5"/>
  <c r="V342" i="5"/>
  <c r="E342" i="5"/>
  <c r="B343" i="5"/>
  <c r="V343" i="5"/>
  <c r="E343" i="5"/>
  <c r="B344" i="5"/>
  <c r="V344" i="5"/>
  <c r="E344" i="5"/>
  <c r="B345" i="5"/>
  <c r="V345" i="5"/>
  <c r="E345" i="5"/>
  <c r="B346" i="5"/>
  <c r="V346" i="5"/>
  <c r="E346" i="5"/>
  <c r="V347" i="5"/>
  <c r="E347"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B375" i="5"/>
  <c r="V375" i="5"/>
  <c r="E375" i="5"/>
  <c r="B376" i="5"/>
  <c r="V376" i="5"/>
  <c r="E376" i="5"/>
  <c r="B377" i="5"/>
  <c r="V377" i="5"/>
  <c r="E377" i="5"/>
  <c r="B378" i="5"/>
  <c r="V378" i="5"/>
  <c r="E378" i="5"/>
  <c r="B379" i="5"/>
  <c r="V379" i="5"/>
  <c r="E379" i="5"/>
  <c r="B380" i="5"/>
  <c r="V380" i="5"/>
  <c r="E380" i="5"/>
  <c r="B381" i="5"/>
  <c r="V381" i="5"/>
  <c r="E381" i="5"/>
  <c r="B382" i="5"/>
  <c r="V382" i="5"/>
  <c r="E382" i="5"/>
  <c r="B383" i="5"/>
  <c r="V383" i="5"/>
  <c r="E383" i="5"/>
  <c r="B384" i="5"/>
  <c r="V384" i="5"/>
  <c r="E384" i="5"/>
  <c r="B385" i="5"/>
  <c r="V385" i="5"/>
  <c r="E385" i="5"/>
  <c r="B386" i="5"/>
  <c r="V386" i="5"/>
  <c r="E386" i="5"/>
  <c r="B387" i="5"/>
  <c r="V387" i="5"/>
  <c r="E387" i="5"/>
  <c r="B388" i="5"/>
  <c r="V388" i="5"/>
  <c r="E388" i="5"/>
  <c r="B389" i="5"/>
  <c r="V389" i="5"/>
  <c r="E389" i="5"/>
  <c r="B390" i="5"/>
  <c r="V390" i="5"/>
  <c r="E390" i="5"/>
  <c r="B391" i="5"/>
  <c r="V391" i="5"/>
  <c r="E391" i="5"/>
  <c r="B392" i="5"/>
  <c r="V392" i="5"/>
  <c r="E392" i="5"/>
  <c r="B393" i="5"/>
  <c r="V393" i="5"/>
  <c r="E393" i="5"/>
  <c r="V394" i="5"/>
  <c r="E394" i="5"/>
  <c r="V395" i="5"/>
  <c r="E395" i="5"/>
  <c r="B396" i="5"/>
  <c r="V396" i="5"/>
  <c r="E396" i="5"/>
  <c r="B397" i="5"/>
  <c r="V397" i="5"/>
  <c r="E397" i="5"/>
  <c r="B398"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AA17" i="4" a="1"/>
  <c r="AA17" i="4"/>
  <c r="A119" i="6"/>
  <c r="G119"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C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H119" i="6"/>
  <c r="H125" i="6"/>
  <c r="D2" i="6"/>
  <c r="D119" i="6"/>
  <c r="C119" i="6"/>
  <c r="C95" i="6"/>
  <c r="C96" i="6"/>
  <c r="D96" i="6"/>
  <c r="D109" i="6"/>
  <c r="C108" i="6"/>
  <c r="D94" i="6"/>
  <c r="D95" i="6"/>
  <c r="C111" i="6"/>
  <c r="C110" i="6"/>
  <c r="C109" i="6"/>
  <c r="C94" i="6"/>
  <c r="D110" i="6"/>
  <c r="D111" i="6"/>
  <c r="D108" i="6"/>
  <c r="C44" i="6"/>
  <c r="C55" i="6"/>
  <c r="C66" i="6"/>
  <c r="C77" i="6"/>
  <c r="C88" i="6"/>
  <c r="C103" i="6"/>
  <c r="K119" i="6"/>
  <c r="C33"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<sst xmlns="http://schemas.openxmlformats.org/spreadsheetml/2006/main" count="27995" uniqueCount="20066">
  <si>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</si>
  <si>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</si>
  <si>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</si>
  <si>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</si>
  <si>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</si>
  <si>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</si>
  <si>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</si>
  <si>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</si>
  <si>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</si>
  <si>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</si>
  <si>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</si>
  <si>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</si>
  <si>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</si>
  <si>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</si>
  <si>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</si>
  <si>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</si>
  <si>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</si>
  <si>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</si>
  <si>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</si>
  <si>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</si>
  <si>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</si>
  <si>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</si>
  <si>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</si>
  <si>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</si>
  <si>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</si>
  <si>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</si>
  <si>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</si>
  <si>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</si>
  <si>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</si>
  <si>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</si>
  <si>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</si>
  <si>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</si>
  <si>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</si>
  <si>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</si>
  <si>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</si>
  <si>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</si>
  <si>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</si>
  <si>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</si>
  <si>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</si>
  <si>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</si>
  <si>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</si>
  <si>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</si>
  <si>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</si>
  <si>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</si>
  <si>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</si>
  <si>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</si>
  <si>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</si>
  <si>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</si>
  <si>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</si>
  <si>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</si>
  <si>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</si>
  <si>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</si>
  <si>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</si>
  <si>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</si>
  <si>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</si>
  <si>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</si>
  <si>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</si>
  <si>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</si>
  <si>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</si>
  <si>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</si>
  <si>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</si>
  <si>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</si>
  <si>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</si>
  <si>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</si>
  <si>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</si>
  <si>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</si>
  <si>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</si>
  <si>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</si>
  <si>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</si>
  <si>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</si>
  <si>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</si>
  <si>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</si>
  <si>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</si>
  <si>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</si>
  <si>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</si>
  <si>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</si>
  <si>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</si>
  <si>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</si>
  <si>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</si>
  <si>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</si>
  <si>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</si>
  <si>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</si>
  <si>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</si>
  <si>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</si>
  <si>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</si>
  <si>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</si>
  <si>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</si>
  <si>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</si>
  <si>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</si>
  <si>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</si>
  <si>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</si>
  <si>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</si>
  <si>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</si>
  <si>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</si>
  <si>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</si>
  <si>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</si>
  <si>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</si>
  <si>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</si>
  <si>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</si>
  <si>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</si>
  <si>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</si>
  <si>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</si>
  <si>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</si>
  <si>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</si>
  <si>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</si>
  <si>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</si>
  <si>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</si>
  <si>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</si>
  <si>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</si>
  <si>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</si>
  <si>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</si>
  <si>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</si>
  <si>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</si>
  <si>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</si>
  <si>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</si>
  <si>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</si>
  <si>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</si>
  <si>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</si>
  <si>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</si>
  <si>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</si>
  <si>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</si>
  <si>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</si>
  <si>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</si>
  <si>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</si>
  <si>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</si>
  <si>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</si>
  <si>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</si>
  <si>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</si>
  <si>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</si>
  <si>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</si>
  <si>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</si>
  <si>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</si>
  <si>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</si>
  <si>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</si>
  <si>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</si>
  <si>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</si>
  <si>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</si>
  <si>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</si>
  <si>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</si>
  <si>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</si>
  <si>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</si>
  <si>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</si>
  <si>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</si>
  <si>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</si>
  <si>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</si>
  <si>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</si>
  <si>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</si>
  <si>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</si>
  <si>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</si>
  <si>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</si>
  <si>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</si>
  <si>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</si>
  <si>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</si>
  <si>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</si>
  <si>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</si>
  <si>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</si>
  <si>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</si>
  <si>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</si>
  <si>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</si>
  <si>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</si>
  <si>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</si>
  <si>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</si>
  <si>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</si>
  <si>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</si>
  <si>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</si>
  <si>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</si>
  <si>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</si>
  <si>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</si>
  <si>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</si>
  <si>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</si>
  <si>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</si>
  <si>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</si>
  <si>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</si>
  <si>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</si>
  <si>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</si>
  <si>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</si>
  <si>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</si>
  <si>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</si>
  <si>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</si>
  <si>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</si>
  <si>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</si>
  <si>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</si>
  <si>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</si>
  <si>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</si>
  <si>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</si>
  <si>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</si>
  <si>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</si>
  <si>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</si>
  <si>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</si>
  <si>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</si>
  <si>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</si>
  <si>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</si>
  <si>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</si>
  <si>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</si>
  <si>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</si>
  <si>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</si>
  <si>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</si>
  <si>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</si>
  <si>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</si>
  <si>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</si>
  <si>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</si>
  <si>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</si>
  <si>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</si>
  <si>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</si>
  <si>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</si>
  <si>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</si>
  <si>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</si>
  <si>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</si>
  <si>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</si>
  <si>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</si>
  <si>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</si>
  <si>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</si>
  <si>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</si>
  <si>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</si>
  <si>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</si>
  <si>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</si>
  <si>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</si>
  <si>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</si>
  <si>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</si>
  <si>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</si>
  <si>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</si>
  <si>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</si>
  <si>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</si>
  <si>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</si>
  <si>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</si>
  <si>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</si>
  <si>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</si>
  <si>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</si>
  <si>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</si>
  <si>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</si>
  <si>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</si>
  <si>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</si>
  <si>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</si>
  <si>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</si>
  <si>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</si>
  <si>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</si>
  <si>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</si>
  <si>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</si>
  <si>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</si>
  <si>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</si>
  <si>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</si>
  <si>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</si>
  <si>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</si>
  <si>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</si>
  <si>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</si>
  <si>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</si>
  <si>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</si>
  <si>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</si>
  <si>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</si>
  <si>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</si>
  <si>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</si>
  <si>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</si>
  <si>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</si>
  <si>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</si>
  <si>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</si>
  <si>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</si>
  <si>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</si>
  <si>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</si>
  <si>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</si>
  <si>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</si>
  <si>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</si>
  <si>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</si>
  <si>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</si>
  <si>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</si>
  <si>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</si>
  <si>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</si>
  <si>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</si>
  <si>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</si>
  <si>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</si>
  <si>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</si>
  <si>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</si>
  <si>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</si>
  <si>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</si>
  <si>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</si>
  <si>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</si>
  <si>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</si>
  <si>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</si>
  <si>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</si>
  <si>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</si>
  <si>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</si>
  <si>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</si>
  <si>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</si>
  <si>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</si>
  <si>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</si>
  <si>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</si>
  <si>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</si>
  <si>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</si>
  <si>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</si>
  <si>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</si>
  <si>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</si>
  <si>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</si>
  <si>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</si>
  <si>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</si>
  <si>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</si>
  <si>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</si>
  <si>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</si>
  <si>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</si>
  <si>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</si>
  <si>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</si>
  <si>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</si>
  <si>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</si>
  <si>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</si>
  <si>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</si>
  <si>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</si>
  <si>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</si>
  <si>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</si>
  <si>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</si>
  <si>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</si>
  <si>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</si>
  <si>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</si>
  <si>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</si>
  <si>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</si>
  <si>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</si>
  <si>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</si>
  <si>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</si>
  <si>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</si>
  <si>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</si>
  <si>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</si>
  <si>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</si>
  <si>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</si>
  <si>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</si>
  <si>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</si>
  <si>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</si>
  <si>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</si>
  <si>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</si>
  <si>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</si>
  <si>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</si>
  <si>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</si>
  <si>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</si>
  <si>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</si>
  <si>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</si>
  <si>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</si>
  <si>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</si>
  <si>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</si>
  <si>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</si>
  <si>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</si>
  <si>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</si>
  <si>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</si>
  <si>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</si>
  <si>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</si>
  <si>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</si>
  <si>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</si>
  <si>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</si>
  <si>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</si>
  <si>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</si>
  <si>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</si>
  <si>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</si>
  <si>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</si>
  <si>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</si>
  <si>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</si>
  <si>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</si>
  <si>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</si>
  <si>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</si>
  <si>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</si>
  <si>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</si>
  <si>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</si>
  <si>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</si>
  <si>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</si>
  <si>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</si>
  <si>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</si>
  <si>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</si>
  <si>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</si>
  <si>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</si>
  <si>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</si>
  <si>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</si>
  <si>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</si>
  <si>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</si>
  <si>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</si>
  <si>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</si>
  <si>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</si>
  <si>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</si>
  <si>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</si>
  <si>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</si>
  <si>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</si>
  <si>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</si>
  <si>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</si>
  <si>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</si>
  <si>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</si>
  <si>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</si>
  <si>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</si>
  <si>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</si>
  <si>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</si>
  <si>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</si>
  <si>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</si>
  <si>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</si>
  <si>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</si>
  <si>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</si>
  <si>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</si>
  <si>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</si>
  <si>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</si>
  <si>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</si>
  <si>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</si>
  <si>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</si>
  <si>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</si>
  <si>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</si>
  <si>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</si>
  <si>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</si>
  <si>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</si>
  <si>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</si>
  <si>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</si>
  <si>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</si>
  <si>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</si>
  <si>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</si>
  <si>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</si>
  <si>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</si>
  <si>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</si>
  <si>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</si>
  <si>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</si>
  <si>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</si>
  <si>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</si>
  <si>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</si>
  <si>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</si>
  <si>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</si>
  <si>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</si>
  <si>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</si>
  <si>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</si>
  <si>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</si>
  <si>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</si>
  <si>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</si>
  <si>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</si>
  <si>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</si>
  <si>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</si>
  <si>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</si>
  <si>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</si>
  <si>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</si>
  <si>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</si>
  <si>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</si>
  <si>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</si>
  <si>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</si>
  <si>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</si>
  <si>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</si>
  <si>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</si>
  <si>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</si>
  <si>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</si>
  <si>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</si>
  <si>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</si>
  <si>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</si>
  <si>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</si>
  <si>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</si>
  <si>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</si>
  <si>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</si>
  <si>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</si>
  <si>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</si>
  <si>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</si>
  <si>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</si>
  <si>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</si>
  <si>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</si>
  <si>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</si>
  <si>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</si>
  <si>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</si>
  <si>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</si>
  <si>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</si>
  <si>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</si>
  <si>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</si>
  <si>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</si>
  <si>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</si>
  <si>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</si>
  <si>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</si>
  <si>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</si>
  <si>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</si>
  <si>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</si>
  <si>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</si>
  <si>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</si>
  <si>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</si>
  <si>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</si>
  <si>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</si>
  <si>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</si>
  <si>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</si>
  <si>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</si>
  <si>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</si>
  <si>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</si>
  <si>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</si>
  <si>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</si>
  <si>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</si>
  <si>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</si>
  <si>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</si>
  <si>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</si>
  <si>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</si>
  <si>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</si>
  <si>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</si>
  <si>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</si>
  <si>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</si>
  <si>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</si>
  <si>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</si>
  <si>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</si>
  <si>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</si>
  <si>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</si>
  <si>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</si>
  <si>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</si>
  <si>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</si>
  <si>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</si>
  <si>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</si>
  <si>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</si>
  <si>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</si>
  <si>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</si>
  <si>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</si>
  <si>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</si>
  <si>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</si>
  <si>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</si>
  <si>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</si>
  <si>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</si>
  <si>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</si>
  <si>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</si>
  <si>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</si>
  <si>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</si>
  <si>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</si>
  <si>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</si>
  <si>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</si>
  <si>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</si>
  <si>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</si>
  <si>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</si>
  <si>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</si>
  <si>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</si>
  <si>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</si>
  <si>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</si>
  <si>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</si>
  <si>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</si>
  <si>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</si>
  <si>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</si>
  <si>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</si>
  <si>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</si>
  <si>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</si>
  <si>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</si>
  <si>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</si>
  <si>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</si>
  <si>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</si>
  <si>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</si>
  <si>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</si>
  <si>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</si>
  <si>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</si>
  <si>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</si>
  <si>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</si>
  <si>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</si>
  <si>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</si>
  <si>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</si>
  <si>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</si>
  <si>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</si>
  <si>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</si>
  <si>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</si>
  <si>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</si>
  <si>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</si>
  <si>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</si>
  <si>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</si>
  <si>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</si>
  <si>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</si>
  <si>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</si>
  <si>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</si>
  <si>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</si>
  <si>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</si>
  <si>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</si>
  <si>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</si>
  <si>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</si>
  <si>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</si>
  <si>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</si>
  <si>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</si>
  <si>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</si>
  <si>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</si>
  <si>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</si>
  <si>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</si>
  <si>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</si>
  <si>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</si>
  <si>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</si>
  <si>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</si>
  <si>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</si>
  <si>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</si>
  <si>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</si>
  <si>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</si>
  <si>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</si>
  <si>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</si>
  <si>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</si>
  <si>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</si>
  <si>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</si>
  <si>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</si>
  <si>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</si>
  <si>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</si>
  <si>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</si>
  <si>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</si>
  <si>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</si>
  <si>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</si>
  <si>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</si>
  <si>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</si>
  <si>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</si>
  <si>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</si>
  <si>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</si>
  <si>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</si>
  <si>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</si>
  <si>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</si>
  <si>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</si>
  <si>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</si>
  <si>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</si>
  <si>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</si>
  <si>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</si>
  <si>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</si>
  <si>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</si>
  <si>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</si>
  <si>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</si>
  <si>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</si>
  <si>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</si>
  <si>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</si>
  <si>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</si>
  <si>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</si>
  <si>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</si>
  <si>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</si>
  <si>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</si>
  <si>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</si>
  <si>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</si>
  <si>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</si>
  <si>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</si>
  <si>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</si>
  <si>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</si>
  <si>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</si>
  <si>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</si>
  <si>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</si>
  <si>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</si>
  <si>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</si>
  <si>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</si>
  <si>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</si>
  <si>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</si>
  <si>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</si>
  <si>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</si>
  <si>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</si>
  <si>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</si>
  <si>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</si>
  <si>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</si>
  <si>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</si>
  <si>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</si>
  <si>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</si>
  <si>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</si>
  <si>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</si>
  <si>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</si>
  <si>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</si>
  <si>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</si>
  <si>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</si>
  <si>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</si>
  <si>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</si>
  <si>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</si>
  <si>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</si>
  <si>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</si>
  <si>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</si>
  <si>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</si>
  <si>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</si>
  <si>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</si>
  <si>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</si>
  <si>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</si>
  <si>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</si>
  <si>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</si>
  <si>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</si>
  <si>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</si>
  <si>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</si>
  <si>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</si>
  <si>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</si>
  <si>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</si>
  <si>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</si>
  <si>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</si>
  <si>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</si>
  <si>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</si>
  <si>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</si>
  <si>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</si>
  <si>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</si>
  <si>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</si>
  <si>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</si>
  <si>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</si>
  <si>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</si>
  <si>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</si>
  <si>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</si>
  <si>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</si>
  <si>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</si>
  <si>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</si>
  <si>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</si>
  <si>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</si>
  <si>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</si>
  <si>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</si>
  <si>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</si>
  <si>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</si>
  <si>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</si>
  <si>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</si>
  <si>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</si>
  <si>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</si>
  <si>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</si>
  <si>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</si>
  <si>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</si>
  <si>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</si>
  <si>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</si>
  <si>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</si>
  <si>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</si>
  <si>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</si>
  <si>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</si>
  <si>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</si>
  <si>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</si>
  <si>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</si>
  <si>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</si>
  <si>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</si>
  <si>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</si>
  <si>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</si>
  <si>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</si>
  <si>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</si>
  <si>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</si>
  <si>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</si>
  <si>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</si>
  <si>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</si>
  <si>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</si>
  <si>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</si>
  <si>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</si>
  <si>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</si>
  <si>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</si>
  <si>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</si>
  <si>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</si>
  <si>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</si>
  <si>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</si>
  <si>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</si>
  <si>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</si>
  <si>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</si>
  <si>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</si>
  <si>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</si>
  <si>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</si>
  <si>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</si>
  <si>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</si>
  <si>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</si>
  <si>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</si>
  <si>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</si>
  <si>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</si>
  <si>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</si>
  <si>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</si>
  <si>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</si>
  <si>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</si>
  <si>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</si>
  <si>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</si>
  <si>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</si>
  <si>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</si>
  <si>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</si>
  <si>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</si>
  <si>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</si>
  <si>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</si>
  <si>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</si>
  <si>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</si>
  <si>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</si>
  <si>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</si>
  <si>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</si>
  <si>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</si>
  <si>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</si>
  <si>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</si>
  <si>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</si>
  <si>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</si>
  <si>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</si>
  <si>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</si>
  <si>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</si>
  <si>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</si>
  <si>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</si>
  <si>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</si>
  <si>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</si>
  <si>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</si>
  <si>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</si>
  <si>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</si>
  <si>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</si>
  <si>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</si>
  <si>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</si>
  <si>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</si>
  <si>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</si>
  <si>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</si>
  <si>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</si>
  <si>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</si>
  <si>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</si>
  <si>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</si>
  <si>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</si>
  <si>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</si>
  <si>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</si>
  <si>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</si>
  <si>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</si>
  <si>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</si>
  <si>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</si>
  <si>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</si>
  <si>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</si>
  <si>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</si>
  <si>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</si>
  <si>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</si>
  <si>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</si>
  <si>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</si>
  <si>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</si>
  <si>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</si>
  <si>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</si>
  <si>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</si>
  <si>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</si>
  <si>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</si>
  <si>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</si>
  <si>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</si>
  <si>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</si>
  <si>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</si>
  <si>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</si>
  <si>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</si>
  <si>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</si>
  <si>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</si>
  <si>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</si>
  <si>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</si>
  <si>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</si>
  <si>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</si>
  <si>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</si>
  <si>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</si>
  <si>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</si>
  <si>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</si>
  <si>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</si>
  <si>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</si>
  <si>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</si>
  <si>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</si>
  <si>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</si>
  <si>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</si>
  <si>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</si>
  <si>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</si>
  <si>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</si>
  <si>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</si>
  <si>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</si>
  <si>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</si>
  <si>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</si>
  <si>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</si>
  <si>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</si>
  <si>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</si>
  <si>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</si>
  <si>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</si>
  <si>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</si>
  <si>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</si>
  <si>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</si>
  <si>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</si>
  <si>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</si>
  <si>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</si>
  <si>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</si>
  <si>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</si>
  <si>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</si>
  <si>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</si>
  <si>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</si>
  <si>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</si>
  <si>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</si>
  <si>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</si>
  <si>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</si>
  <si>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</si>
  <si>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</si>
  <si>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</si>
  <si>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</si>
  <si>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</si>
  <si>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</si>
  <si>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</si>
  <si>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</si>
  <si>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</si>
  <si>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</si>
  <si>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</si>
  <si>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</si>
  <si>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</si>
  <si>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</si>
  <si>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</si>
  <si>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</si>
  <si>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</si>
  <si>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</si>
  <si>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</si>
  <si>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</si>
  <si>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</si>
  <si>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</si>
  <si>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</si>
  <si>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</si>
  <si>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</si>
  <si>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</si>
  <si>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</si>
  <si>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</si>
  <si>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</si>
  <si>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</si>
  <si>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</si>
  <si>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</si>
  <si>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</si>
  <si>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</si>
  <si>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</si>
  <si>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</si>
  <si>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</si>
  <si>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</si>
  <si>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</si>
  <si>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</si>
  <si>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</si>
  <si>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</si>
  <si>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</si>
  <si>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</si>
  <si>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</si>
  <si>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</si>
  <si>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</si>
  <si>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</si>
  <si>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</si>
  <si>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</si>
  <si>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</si>
  <si>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</si>
  <si>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</si>
  <si>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</si>
  <si>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</si>
  <si>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</si>
  <si>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</si>
  <si>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</si>
  <si>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</si>
  <si>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</si>
  <si>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</si>
  <si>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</si>
  <si>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</si>
  <si>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</si>
  <si>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</si>
  <si>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</si>
  <si>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</si>
  <si>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</si>
  <si>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</si>
  <si>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</si>
  <si>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</si>
  <si>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</si>
  <si>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</si>
  <si>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</si>
  <si>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</si>
  <si>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</si>
  <si>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</si>
  <si>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</si>
  <si>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</si>
  <si>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</si>
  <si>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</si>
  <si>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</si>
  <si>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</si>
  <si>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</si>
  <si>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</si>
  <si>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</si>
  <si>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</si>
  <si>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</si>
  <si>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</si>
  <si>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</si>
  <si>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</si>
  <si>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</si>
  <si>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</si>
  <si>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</si>
  <si>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</si>
  <si>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</si>
  <si>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</si>
  <si>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</si>
  <si>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</si>
  <si>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</si>
  <si>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</si>
  <si>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</si>
  <si>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</si>
  <si>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</si>
  <si>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</si>
  <si>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</si>
  <si>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</si>
  <si>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</si>
  <si>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</si>
  <si>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</si>
  <si>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</si>
  <si>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</si>
  <si>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</si>
  <si>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</si>
  <si>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</si>
  <si>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</si>
  <si>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</si>
  <si>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</si>
  <si>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</si>
  <si>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</si>
  <si>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</si>
  <si>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</si>
  <si>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</si>
  <si>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</si>
  <si>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</si>
  <si>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</si>
  <si>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</si>
  <si>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</si>
  <si>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</si>
  <si>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</si>
  <si>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</si>
  <si>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</si>
  <si>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</si>
  <si>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</si>
  <si>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</si>
  <si>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</si>
  <si>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</si>
  <si>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</si>
  <si>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</si>
  <si>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</si>
  <si>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</si>
  <si>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</si>
  <si>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</si>
  <si>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</si>
  <si>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</si>
  <si>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</si>
  <si>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</si>
  <si>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</si>
  <si>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</si>
  <si>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</si>
  <si>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</si>
  <si>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</si>
  <si>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</si>
  <si>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</si>
  <si>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</si>
  <si>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</si>
  <si>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</si>
  <si>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</si>
  <si>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</si>
  <si>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</si>
  <si>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</si>
  <si>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</si>
  <si>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</si>
  <si>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</si>
  <si>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</si>
  <si>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</si>
  <si>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</si>
  <si>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</si>
  <si>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</si>
  <si>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</si>
  <si>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</si>
  <si>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</si>
  <si>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</si>
  <si>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</si>
  <si>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</si>
  <si>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</si>
  <si>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</si>
  <si>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</si>
  <si>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</si>
  <si>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</si>
  <si>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</si>
  <si>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</si>
  <si>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</si>
  <si>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</si>
  <si>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</si>
  <si>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</si>
  <si>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</si>
  <si>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</si>
  <si>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</si>
  <si>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</si>
  <si>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</si>
  <si>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</si>
  <si>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</si>
  <si>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</si>
  <si>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</si>
  <si>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</si>
  <si>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</si>
  <si>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</si>
  <si>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</si>
  <si>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</si>
  <si>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</si>
  <si>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</si>
  <si>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</si>
  <si>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</si>
  <si>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</si>
  <si>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</si>
  <si>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</si>
  <si>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</si>
  <si>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</si>
  <si>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</si>
  <si>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</si>
  <si>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</si>
  <si>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</si>
  <si>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</si>
  <si>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</si>
  <si>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</si>
  <si>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</si>
  <si>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</si>
  <si>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</si>
  <si>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</si>
  <si>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</si>
  <si>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</si>
  <si>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</si>
  <si>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</si>
  <si>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</si>
  <si>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</si>
  <si>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</si>
  <si>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</si>
  <si>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</si>
  <si>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</si>
  <si>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</si>
  <si>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</si>
  <si>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</si>
  <si>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</si>
  <si>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</si>
  <si>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</si>
  <si>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</si>
  <si>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</si>
  <si>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</si>
  <si>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</si>
  <si>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</si>
  <si>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</si>
  <si>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</si>
  <si>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</si>
  <si>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</si>
  <si>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</si>
  <si>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</si>
  <si>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</si>
  <si>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</si>
  <si>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</si>
  <si>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</si>
  <si>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</si>
  <si>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</si>
  <si>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</si>
  <si>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</si>
  <si>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</si>
  <si>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</si>
  <si>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</si>
  <si>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</si>
  <si>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</si>
  <si>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</si>
  <si>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</si>
  <si>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</si>
  <si>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</si>
  <si>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</si>
  <si>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</si>
  <si>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</si>
  <si>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</si>
  <si>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</si>
  <si>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</si>
  <si>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</si>
  <si>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</si>
  <si>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</si>
  <si>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</si>
  <si>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</si>
  <si>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</si>
  <si>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</si>
  <si>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</si>
  <si>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</si>
  <si>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</si>
  <si>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</si>
  <si>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</si>
  <si>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</si>
  <si>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</si>
  <si>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</si>
  <si>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</si>
  <si>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</si>
  <si>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</si>
  <si>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</si>
  <si>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</si>
  <si>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</si>
  <si>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</si>
  <si>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</si>
  <si>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</si>
  <si>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</si>
  <si>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</si>
  <si>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</si>
  <si>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</si>
  <si>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</si>
  <si>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</si>
  <si>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</si>
  <si>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</si>
  <si>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</si>
  <si>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</si>
  <si>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</si>
  <si>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</si>
  <si>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</si>
  <si>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</si>
  <si>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</si>
  <si>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</si>
  <si>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</si>
  <si>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</si>
  <si>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</si>
  <si>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</si>
  <si>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</si>
  <si>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</si>
  <si>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</si>
  <si>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</si>
  <si>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</si>
  <si>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</si>
  <si>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</si>
  <si>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</si>
  <si>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</si>
  <si>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</si>
  <si>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</si>
  <si>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</si>
  <si>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</si>
  <si>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</si>
  <si>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</si>
  <si>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</si>
  <si>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</si>
  <si>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</si>
  <si>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</si>
  <si>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</si>
  <si>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</si>
  <si>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</si>
  <si>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</si>
  <si>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</si>
  <si>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</si>
  <si>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</si>
  <si>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</si>
  <si>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</si>
  <si>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</si>
  <si>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</si>
  <si>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</si>
  <si>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</si>
  <si>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</si>
  <si>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</si>
  <si>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</si>
  <si>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</si>
  <si>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</si>
  <si>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</si>
  <si>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</si>
  <si>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</si>
  <si>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</si>
  <si>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</si>
  <si>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</si>
  <si>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</si>
  <si>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</si>
  <si>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</si>
  <si>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</si>
  <si>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</si>
  <si>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</si>
  <si>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</si>
  <si>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</si>
  <si>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</si>
  <si>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</si>
  <si>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</si>
  <si>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</si>
  <si>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</si>
  <si>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</si>
  <si>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</si>
  <si>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</si>
  <si>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</si>
  <si>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</si>
  <si>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</si>
  <si>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</si>
  <si>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</si>
  <si>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</si>
  <si>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</si>
  <si>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</si>
  <si>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</si>
  <si>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</si>
  <si>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</si>
  <si>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</si>
  <si>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</si>
  <si>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</si>
  <si>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</si>
  <si>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</si>
  <si>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</si>
  <si>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</si>
  <si>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</si>
  <si>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</si>
  <si>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</si>
  <si>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</si>
  <si>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</si>
  <si>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</si>
  <si>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</si>
  <si>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</si>
  <si>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</si>
  <si>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</si>
  <si>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</si>
  <si>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</si>
  <si>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</si>
  <si>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</si>
  <si>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</si>
  <si>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</si>
  <si>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</si>
  <si>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</si>
  <si>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</si>
  <si>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</si>
  <si>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</si>
  <si>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</si>
  <si>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</si>
  <si>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</si>
  <si>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</si>
  <si>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</si>
  <si>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</si>
  <si>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</si>
  <si>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</si>
  <si>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</si>
  <si>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</si>
  <si>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</si>
  <si>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</si>
  <si>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</si>
  <si>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</si>
  <si>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</si>
  <si>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</si>
  <si>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</si>
  <si>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</si>
  <si>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</si>
  <si>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</si>
  <si>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</si>
  <si>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</si>
  <si>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</si>
  <si>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</si>
  <si>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</si>
  <si>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</si>
  <si>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</si>
  <si>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</si>
  <si>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</si>
  <si>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</si>
  <si>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</si>
  <si>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</si>
  <si>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</si>
  <si>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</si>
  <si>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</si>
  <si>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</si>
  <si>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</si>
  <si>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</si>
  <si>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</si>
  <si>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</si>
  <si>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</si>
  <si>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</si>
  <si>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</si>
  <si>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</si>
  <si>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</si>
  <si>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</si>
  <si>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</si>
  <si>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</si>
  <si>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</si>
  <si>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</si>
  <si>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</si>
  <si>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</si>
  <si>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</si>
  <si>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</si>
  <si>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</si>
  <si>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</si>
  <si>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</si>
  <si>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</si>
  <si>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</si>
  <si>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</si>
  <si>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</si>
  <si>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</si>
  <si>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</si>
  <si>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</si>
  <si>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</si>
  <si>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</si>
  <si>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</si>
  <si>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</si>
  <si>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</si>
  <si>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</si>
  <si>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</si>
  <si>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</si>
  <si>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</si>
  <si>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</si>
  <si>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</si>
  <si>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</si>
  <si>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</si>
  <si>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</si>
  <si>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</si>
  <si>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</si>
  <si>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</si>
  <si>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</si>
  <si>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</si>
  <si>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</si>
  <si>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</si>
  <si>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</si>
  <si>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</si>
  <si>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</si>
  <si>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</si>
  <si>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</si>
  <si>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</si>
  <si>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</si>
  <si>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</si>
  <si>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</si>
  <si>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</si>
  <si>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</si>
  <si>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</si>
  <si>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</si>
  <si>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</si>
  <si>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</si>
  <si>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</si>
  <si>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</si>
  <si>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</si>
  <si>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</si>
  <si>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</si>
  <si>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</si>
  <si>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</si>
  <si>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</si>
  <si>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</si>
  <si>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</si>
  <si>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</si>
  <si>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</si>
  <si>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</si>
  <si>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</si>
  <si>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</si>
  <si>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</si>
  <si>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</si>
  <si>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</si>
  <si>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</si>
  <si>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</si>
  <si>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</si>
  <si>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</si>
  <si>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</si>
  <si>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</si>
  <si>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</si>
  <si>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</si>
  <si>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</si>
  <si>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</si>
  <si>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</si>
  <si>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</si>
  <si>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</si>
  <si>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</si>
  <si>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</si>
  <si>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</si>
  <si>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</si>
  <si>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</si>
  <si>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</si>
  <si>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</si>
  <si>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</si>
  <si>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</si>
  <si>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</si>
  <si>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</si>
  <si>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</si>
  <si>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</si>
  <si>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</si>
  <si>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</si>
  <si>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</si>
  <si>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</si>
  <si>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</si>
  <si>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</si>
  <si>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</si>
  <si>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</si>
  <si>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</si>
  <si>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</si>
  <si>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</si>
  <si>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</si>
  <si>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</si>
  <si>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</si>
  <si>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</si>
  <si>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</si>
  <si>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</si>
  <si>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</si>
  <si>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</si>
  <si>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</si>
  <si>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</si>
  <si>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</si>
  <si>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</si>
  <si>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</si>
  <si>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</si>
  <si>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</si>
  <si>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</si>
  <si>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</si>
  <si>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</si>
  <si>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</si>
  <si>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</si>
  <si>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</si>
  <si>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</si>
  <si>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</si>
  <si>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</si>
  <si>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</si>
  <si>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</si>
  <si>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</si>
  <si>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</si>
  <si>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</si>
  <si>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</si>
  <si>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</si>
  <si>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</si>
  <si>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</si>
  <si>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</si>
  <si>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</si>
  <si>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</si>
  <si>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</si>
  <si>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</si>
  <si>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</si>
  <si>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</si>
  <si>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</si>
  <si>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</si>
  <si>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</si>
  <si>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</si>
  <si>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</si>
  <si>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</si>
  <si>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</si>
  <si>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</si>
  <si>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</si>
  <si>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</si>
  <si>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</si>
  <si>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</si>
  <si>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</si>
  <si>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</si>
  <si>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</si>
  <si>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</si>
  <si>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</si>
  <si>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</si>
  <si>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</si>
  <si>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</si>
  <si>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</si>
  <si>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</si>
  <si>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</si>
  <si>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</si>
  <si>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</si>
  <si>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</si>
  <si>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</si>
  <si>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</si>
  <si>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</si>
  <si>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</si>
  <si>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</si>
  <si>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</si>
  <si>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</si>
  <si>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</si>
  <si>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</si>
  <si>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</si>
  <si>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</si>
  <si>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</si>
  <si>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</si>
  <si>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</si>
  <si>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</si>
  <si>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</si>
  <si>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</si>
  <si>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</si>
  <si>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</si>
  <si>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</si>
  <si>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</si>
  <si>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</si>
  <si>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</si>
  <si>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</si>
  <si>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</si>
  <si>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</si>
  <si>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</si>
  <si>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</si>
  <si>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</si>
  <si>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</si>
  <si>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</si>
  <si>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</si>
  <si>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</si>
  <si>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</si>
  <si>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</si>
  <si>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</si>
  <si>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</si>
  <si>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</si>
  <si>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</si>
  <si>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</si>
  <si>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</si>
  <si>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</si>
  <si>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</si>
  <si>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</si>
  <si>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</si>
  <si>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</si>
  <si>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</si>
  <si>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</si>
  <si>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</si>
  <si>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</si>
  <si>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</si>
  <si>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</si>
  <si>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</si>
  <si>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</si>
  <si>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</si>
  <si>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</si>
  <si>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</si>
  <si>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</si>
  <si>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</si>
  <si>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</si>
  <si>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</si>
  <si>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</si>
  <si>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</si>
  <si>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</si>
  <si>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</si>
  <si>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</si>
  <si>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</si>
  <si>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</si>
  <si>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</si>
  <si>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</si>
  <si>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</si>
  <si>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</si>
  <si>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</si>
  <si>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</si>
  <si>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</si>
  <si>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</si>
  <si>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</si>
  <si>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</si>
  <si>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</si>
  <si>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</si>
  <si>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</si>
  <si>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</si>
  <si>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</si>
  <si>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</si>
  <si>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</si>
  <si>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</si>
  <si>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</si>
  <si>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</si>
  <si>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</si>
  <si>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</si>
  <si>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</si>
  <si>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</si>
  <si>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</si>
  <si>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</si>
  <si>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</si>
  <si>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</si>
  <si>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</si>
  <si>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</si>
  <si>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</si>
  <si>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</si>
  <si>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</si>
  <si>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</si>
  <si>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</si>
  <si>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</si>
  <si>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</si>
  <si>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</si>
  <si>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</si>
  <si>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</si>
  <si>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</si>
  <si>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</si>
  <si>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</si>
  <si>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</si>
  <si>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</si>
  <si>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</si>
  <si>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</si>
  <si>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</si>
  <si>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</si>
  <si>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</si>
  <si>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</si>
  <si>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</si>
  <si>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</si>
  <si>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</si>
  <si>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</si>
  <si>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</si>
  <si>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</si>
  <si>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</si>
  <si>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</si>
  <si>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</si>
  <si>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</si>
  <si>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</si>
  <si>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</si>
  <si>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</si>
  <si>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</si>
  <si>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</si>
  <si>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</si>
  <si>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</si>
  <si>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</si>
  <si>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</si>
  <si>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</si>
  <si>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</si>
  <si>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</si>
  <si>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</si>
  <si>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</si>
  <si>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</si>
  <si>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</si>
  <si>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</si>
  <si>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</si>
  <si>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</si>
  <si>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</si>
  <si>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</si>
  <si>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</si>
  <si>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</si>
  <si>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</si>
  <si>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</si>
  <si>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</si>
  <si>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</si>
  <si>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</si>
  <si>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</si>
  <si>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</si>
  <si>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</si>
  <si>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</si>
  <si>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</si>
  <si>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</si>
  <si>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</si>
  <si>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</si>
  <si>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</si>
  <si>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</si>
  <si>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</si>
  <si>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</si>
  <si>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</si>
  <si>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</si>
  <si>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</si>
  <si>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</si>
  <si>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</si>
  <si>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</si>
  <si>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</si>
  <si>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</si>
  <si>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</si>
  <si>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</si>
  <si>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</si>
  <si>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</si>
  <si>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</si>
  <si>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</si>
  <si>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</si>
  <si>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</si>
  <si>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</si>
  <si>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</si>
  <si>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</si>
  <si>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</si>
  <si>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</si>
  <si>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</si>
  <si>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</si>
  <si>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</si>
  <si>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</si>
  <si>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</si>
  <si>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</si>
  <si>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</si>
  <si>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</si>
  <si>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</si>
  <si>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</si>
  <si>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</si>
  <si>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</si>
  <si>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</si>
  <si>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</si>
  <si>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</si>
  <si>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</si>
  <si>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</si>
  <si>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</si>
  <si>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</si>
  <si>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</si>
  <si>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</si>
  <si>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</si>
  <si>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</si>
  <si>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</si>
  <si>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</si>
  <si>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</si>
  <si>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</si>
  <si>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</si>
  <si>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</si>
  <si>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</si>
  <si>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</si>
  <si>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</si>
  <si>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</si>
  <si>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</si>
  <si>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</si>
  <si>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</si>
  <si>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</si>
  <si>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</si>
  <si>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</si>
  <si>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</si>
  <si>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</si>
  <si>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</si>
  <si>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</si>
  <si>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</si>
  <si>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</si>
  <si>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</si>
  <si>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</si>
  <si>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</si>
  <si>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</si>
  <si>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</si>
  <si>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</si>
  <si>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</si>
  <si>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</si>
  <si>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</si>
  <si>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</si>
  <si>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</si>
  <si>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</si>
  <si>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</si>
  <si>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</si>
  <si>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</si>
  <si>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</si>
  <si>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</si>
  <si>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</si>
  <si>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</si>
  <si>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</si>
  <si>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</si>
  <si>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</si>
  <si>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</si>
  <si>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</si>
  <si>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</si>
  <si>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</si>
  <si>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</si>
  <si>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</si>
  <si>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</si>
  <si>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</si>
  <si>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</si>
  <si>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</si>
  <si>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</si>
  <si>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</si>
  <si>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</si>
  <si>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</si>
  <si>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</si>
  <si>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</si>
  <si>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</si>
  <si>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</si>
  <si>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</si>
  <si>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</si>
  <si>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</si>
  <si>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</si>
  <si>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</si>
  <si>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</si>
  <si>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</si>
  <si>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</si>
  <si>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</si>
  <si>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</si>
  <si>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</si>
  <si>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</si>
  <si>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</si>
  <si>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</si>
  <si>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</si>
  <si>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</si>
  <si>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</si>
  <si>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</si>
  <si>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</si>
  <si>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</si>
  <si>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</si>
  <si>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</si>
  <si>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</si>
  <si>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</si>
  <si>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</si>
  <si>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</si>
  <si>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</si>
  <si>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</si>
  <si>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</si>
  <si>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</si>
  <si>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</si>
  <si>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</si>
  <si>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</si>
  <si>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</si>
  <si>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</si>
  <si>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</si>
  <si>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</si>
  <si>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</si>
  <si>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</si>
  <si>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</si>
  <si>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</si>
  <si>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</si>
  <si>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</si>
  <si>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</si>
  <si>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</si>
  <si>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</si>
  <si>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</si>
  <si>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</si>
  <si>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</si>
  <si>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</si>
  <si>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</si>
  <si>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</si>
  <si>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</si>
  <si>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</si>
  <si>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</si>
  <si>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</si>
  <si>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</si>
  <si>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</si>
  <si>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</si>
  <si>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</si>
  <si>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</si>
  <si>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</si>
  <si>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</si>
  <si>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</si>
  <si>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</si>
  <si>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</si>
  <si>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</si>
  <si>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</si>
  <si>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</si>
  <si>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</si>
  <si>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</si>
  <si>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</si>
  <si>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</si>
  <si>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</si>
  <si>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</si>
  <si>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</si>
  <si>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</si>
  <si>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</si>
  <si>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</si>
  <si>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</si>
  <si>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</si>
  <si>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</si>
  <si>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</si>
  <si>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</si>
  <si>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</si>
  <si>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</si>
  <si>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</si>
  <si>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</si>
  <si>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</si>
  <si>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</si>
  <si>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</si>
  <si>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</si>
  <si>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</si>
  <si>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</si>
  <si>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</si>
  <si>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</si>
  <si>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</si>
  <si>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</si>
  <si>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</si>
  <si>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</si>
  <si>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</si>
  <si>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</si>
  <si>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</si>
  <si>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</si>
  <si>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</si>
  <si>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</si>
  <si>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</si>
  <si>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</si>
  <si>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</si>
  <si>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</si>
  <si>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</si>
  <si>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</si>
  <si>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</si>
  <si>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</si>
  <si>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</si>
  <si>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</si>
  <si>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</si>
  <si>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</si>
  <si>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</si>
  <si>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</si>
  <si>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</si>
  <si>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</si>
  <si>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</si>
  <si>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</si>
  <si>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</si>
  <si>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</si>
  <si>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</si>
  <si>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</si>
  <si>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</si>
  <si>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</si>
  <si>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</si>
  <si>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</si>
  <si>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</si>
  <si>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</si>
  <si>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</si>
  <si>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</si>
  <si>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</si>
  <si>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</si>
  <si>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</si>
  <si>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</si>
  <si>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</si>
  <si>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</si>
  <si>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</si>
  <si>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</si>
  <si>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</si>
  <si>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</si>
  <si>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</si>
  <si>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</si>
  <si>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</si>
  <si>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</si>
  <si>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</si>
  <si>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</si>
  <si>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</si>
  <si>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</si>
  <si>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</si>
  <si>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</si>
  <si>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</si>
  <si>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</si>
  <si>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</si>
  <si>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</si>
  <si>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</si>
  <si>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</si>
  <si>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</si>
  <si>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</si>
  <si>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</si>
  <si>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</si>
  <si>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</si>
  <si>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</si>
  <si>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</si>
  <si>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</si>
  <si>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</si>
  <si>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</si>
  <si>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</si>
  <si>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</si>
  <si>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</si>
  <si>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</si>
  <si>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</si>
  <si>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</si>
  <si>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</si>
  <si>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</si>
  <si>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</si>
  <si>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</si>
  <si>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</si>
  <si>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</si>
  <si>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</si>
  <si>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</si>
  <si>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</si>
  <si>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</si>
  <si>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</si>
  <si>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</si>
  <si>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</si>
  <si>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</si>
  <si>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</si>
  <si>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</si>
  <si>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</si>
  <si>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</si>
  <si>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</si>
  <si>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</si>
  <si>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</si>
  <si>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</si>
  <si>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</si>
  <si>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</si>
  <si>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</si>
  <si>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</si>
  <si>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</si>
  <si>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</si>
  <si>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</si>
  <si>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</si>
  <si>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</si>
  <si>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</si>
  <si>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</si>
  <si>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</si>
  <si>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</si>
  <si>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</si>
  <si>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</si>
  <si>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</si>
  <si>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</si>
  <si>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</si>
  <si>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</si>
  <si>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</si>
  <si>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</si>
  <si>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</si>
  <si>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</si>
  <si>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</si>
  <si>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</si>
  <si>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</si>
  <si>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</si>
  <si>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</si>
  <si>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</si>
  <si>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</si>
  <si>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</si>
  <si>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</si>
  <si>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</si>
  <si>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</si>
  <si>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</si>
  <si>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</si>
  <si>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</si>
  <si>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</si>
  <si>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</si>
  <si>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</si>
  <si>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</si>
  <si>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</si>
  <si>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</si>
  <si>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</si>
  <si>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</si>
  <si>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</si>
  <si>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</si>
  <si>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</si>
  <si>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</si>
  <si>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</si>
  <si>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</si>
  <si>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</si>
  <si>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</si>
  <si>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</si>
  <si>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</si>
  <si>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</si>
  <si>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</si>
  <si>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</si>
  <si>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</si>
  <si>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</si>
  <si>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</si>
  <si>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</si>
  <si>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</si>
  <si>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</si>
  <si>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</si>
  <si>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</si>
  <si>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</si>
  <si>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</si>
  <si>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</si>
  <si>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</si>
  <si>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</si>
  <si>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</si>
  <si>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</si>
  <si>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</si>
  <si>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</si>
  <si>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</si>
  <si>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</si>
  <si>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</si>
  <si>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</si>
  <si>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</si>
  <si>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</si>
  <si>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</si>
  <si>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</si>
  <si>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</si>
  <si>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</si>
  <si>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</si>
  <si>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</si>
  <si>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</si>
  <si>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</si>
  <si>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</si>
  <si>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</si>
  <si>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</si>
  <si>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</si>
  <si>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</si>
  <si>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</si>
  <si>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</si>
  <si>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</si>
  <si>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</si>
  <si>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</si>
  <si>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</si>
  <si>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</si>
  <si>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</si>
  <si>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</si>
  <si>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</si>
  <si>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</si>
  <si>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</si>
  <si>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</si>
  <si>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</si>
  <si>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</si>
  <si>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</si>
  <si>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</si>
  <si>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</si>
  <si>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</si>
  <si>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</si>
  <si>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</si>
  <si>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</si>
  <si>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</si>
  <si>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</si>
  <si>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</si>
  <si>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</si>
  <si>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</si>
  <si>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</si>
  <si>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</si>
  <si>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</si>
  <si>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</si>
  <si>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</si>
  <si>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</si>
  <si>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</si>
  <si>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</si>
  <si>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</si>
  <si>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</si>
  <si>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</si>
  <si>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</si>
  <si>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</si>
  <si>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</si>
  <si>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</si>
  <si>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</si>
  <si>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</si>
  <si>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</si>
  <si>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</si>
  <si>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</si>
  <si>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</si>
  <si>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</si>
  <si>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</si>
  <si>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</si>
  <si>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</si>
  <si>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</si>
  <si>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</si>
  <si>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</si>
  <si>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</si>
  <si>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</si>
  <si>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</si>
  <si>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</si>
  <si>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</si>
  <si>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</si>
  <si>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</si>
  <si>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</si>
  <si>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</si>
  <si>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</si>
  <si>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</si>
  <si>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</si>
  <si>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</si>
  <si>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</si>
  <si>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</si>
  <si>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</si>
  <si>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</si>
  <si>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</si>
  <si>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</si>
  <si>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</si>
  <si>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</si>
  <si>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</si>
  <si>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</si>
  <si>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</si>
  <si>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</si>
  <si>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</si>
  <si>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</si>
  <si>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</si>
  <si>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</si>
  <si>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</si>
  <si>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</si>
  <si>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</si>
  <si>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</si>
  <si>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</si>
  <si>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</si>
  <si>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</si>
  <si>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</si>
  <si>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</si>
  <si>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</si>
  <si>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</si>
  <si>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</si>
  <si>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</si>
  <si>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</si>
  <si>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</si>
  <si>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</si>
  <si>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</si>
  <si>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</si>
  <si>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</si>
  <si>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</si>
  <si>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</si>
  <si>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</si>
  <si>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</si>
  <si>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</si>
  <si>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</si>
  <si>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</si>
  <si>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</si>
  <si>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</si>
  <si>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</si>
  <si>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</si>
  <si>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</si>
  <si>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</si>
  <si>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</si>
  <si>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</si>
  <si>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</si>
  <si>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</si>
  <si>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</si>
  <si>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</si>
  <si>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</si>
  <si>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</si>
  <si>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</si>
  <si>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</si>
  <si>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</si>
  <si>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</si>
  <si>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</si>
  <si>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</si>
  <si>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</si>
  <si>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</si>
  <si>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</si>
  <si>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</si>
  <si>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</si>
  <si>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</si>
  <si>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</si>
  <si>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</si>
  <si>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</si>
  <si>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</si>
  <si>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</si>
  <si>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</si>
  <si>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</si>
  <si>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</si>
  <si>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</si>
  <si>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</si>
  <si>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</si>
  <si>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</si>
  <si>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</si>
  <si>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</si>
  <si>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</si>
  <si>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</si>
  <si>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</si>
  <si>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</si>
  <si>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</si>
  <si>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</si>
  <si>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</si>
  <si>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</si>
  <si>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</si>
  <si>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</si>
  <si>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</si>
  <si>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</si>
  <si>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</si>
  <si>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</si>
  <si>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</si>
  <si>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</si>
  <si>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</si>
  <si>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</si>
  <si>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</si>
  <si>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</si>
  <si>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</si>
  <si>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</si>
  <si>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</si>
  <si>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</si>
  <si>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</si>
  <si>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</si>
  <si>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</si>
  <si>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</si>
  <si>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</si>
  <si>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</si>
  <si>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</si>
  <si>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</si>
  <si>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</si>
  <si>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</si>
  <si>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</si>
  <si>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</si>
  <si>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</si>
  <si>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</si>
  <si>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</si>
  <si>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</si>
  <si>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</si>
  <si>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</si>
  <si>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</si>
  <si>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</si>
  <si>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</si>
  <si>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</si>
  <si>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</si>
  <si>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</si>
  <si>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</si>
  <si>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</si>
  <si>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</si>
  <si>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</si>
  <si>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</si>
  <si>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</si>
  <si>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</si>
  <si>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</si>
  <si>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</si>
  <si>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</si>
  <si>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</si>
  <si>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</si>
  <si>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</si>
  <si>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</si>
  <si>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</si>
  <si>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</si>
  <si>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</si>
  <si>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</si>
  <si>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</si>
  <si>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</si>
  <si>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</si>
  <si>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</si>
  <si>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</si>
  <si>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</si>
  <si>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</si>
  <si>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</si>
  <si>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</si>
  <si>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</si>
  <si>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</si>
  <si>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</si>
  <si>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</si>
  <si>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</si>
  <si>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</si>
  <si>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</si>
  <si>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</si>
  <si>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</si>
  <si>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</si>
  <si>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</si>
  <si>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</si>
  <si>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</si>
  <si>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</si>
  <si>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</si>
  <si>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</si>
  <si>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</si>
  <si>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</si>
  <si>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</si>
  <si>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</si>
  <si>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</si>
  <si>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</si>
  <si>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</si>
  <si>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</si>
  <si>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</si>
  <si>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</si>
  <si>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</si>
  <si>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</si>
  <si>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</si>
  <si>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</si>
  <si>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</si>
  <si>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</si>
  <si>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</si>
  <si>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</si>
  <si>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</si>
  <si>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</si>
  <si>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</si>
  <si>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</si>
  <si>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</si>
  <si>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</si>
  <si>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</si>
  <si>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</si>
  <si>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</si>
  <si>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</si>
  <si>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</si>
  <si>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</si>
  <si>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</si>
  <si>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</si>
  <si>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</si>
  <si>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</si>
  <si>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</si>
  <si>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</si>
  <si>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</si>
  <si>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</si>
  <si>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</si>
  <si>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</si>
  <si>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</si>
  <si>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</si>
  <si>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</si>
  <si>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</si>
  <si>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</si>
  <si>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</si>
  <si>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</si>
  <si>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</si>
  <si>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</si>
  <si>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</si>
  <si>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</si>
  <si>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</si>
  <si>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</si>
  <si>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</si>
  <si>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</si>
  <si>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</si>
  <si>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</si>
  <si>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</si>
  <si>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</si>
  <si>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</si>
  <si>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</si>
  <si>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</si>
  <si>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</si>
  <si>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</si>
  <si>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</si>
  <si>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</si>
  <si>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</si>
  <si>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</si>
  <si>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</si>
  <si>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</si>
  <si>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</si>
  <si>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</si>
  <si>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</si>
  <si>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</si>
  <si>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</si>
  <si>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</si>
  <si>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</si>
  <si>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</si>
  <si>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</si>
  <si>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</si>
  <si>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</si>
  <si>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</si>
  <si>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</si>
  <si>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</si>
  <si>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</si>
  <si>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</si>
  <si>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</si>
  <si>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</si>
  <si>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</si>
  <si>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</si>
  <si>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</si>
  <si>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</si>
  <si>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</si>
  <si>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</si>
  <si>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</si>
  <si>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</si>
  <si>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</si>
  <si>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</si>
  <si>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</si>
  <si>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</si>
  <si>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</si>
  <si>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</si>
  <si>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</si>
  <si>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</si>
  <si>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</si>
  <si>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</si>
  <si>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</si>
  <si>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</si>
  <si>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</si>
  <si>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</si>
  <si>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</si>
  <si>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</si>
  <si>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</si>
  <si>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</si>
  <si>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</si>
  <si>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</si>
  <si>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</si>
  <si>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</si>
  <si>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</si>
  <si>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</si>
  <si>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</si>
  <si>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</si>
  <si>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</si>
  <si>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</si>
  <si>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</si>
  <si>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</si>
  <si>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</si>
  <si>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</si>
  <si>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</si>
  <si>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</si>
  <si>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</si>
  <si>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</si>
  <si>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</si>
  <si>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</si>
  <si>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</si>
  <si>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</si>
  <si>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</si>
  <si>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</si>
  <si>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</si>
  <si>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</si>
  <si>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</si>
  <si>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</si>
  <si>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</si>
  <si>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</si>
  <si>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</si>
  <si>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</si>
  <si>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</si>
  <si>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</si>
  <si>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</si>
  <si>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</si>
  <si>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</si>
  <si>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</si>
  <si>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</si>
  <si>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</si>
  <si>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</si>
  <si>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</si>
  <si>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</si>
  <si>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</si>
  <si>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</si>
  <si>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</si>
  <si>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</si>
  <si>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</si>
  <si>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</si>
  <si>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</si>
  <si>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</si>
  <si>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</si>
  <si>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</si>
  <si>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</si>
  <si>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</si>
  <si>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</si>
  <si>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</si>
  <si>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</si>
  <si>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</si>
  <si>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</si>
  <si>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</si>
  <si>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</si>
  <si>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</si>
  <si>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</si>
  <si>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</si>
  <si>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</si>
  <si>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</si>
  <si>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</si>
  <si>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</si>
  <si>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</si>
  <si>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</si>
  <si>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</si>
  <si>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</si>
  <si>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</si>
  <si>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</si>
  <si>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</si>
  <si>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</si>
  <si>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</si>
  <si>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</si>
  <si>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</si>
  <si>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</si>
  <si>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</si>
  <si>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</si>
  <si>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</si>
  <si>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</si>
  <si>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</si>
  <si>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</si>
  <si>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</si>
  <si>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</si>
  <si>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</si>
  <si>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</si>
  <si>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</si>
  <si>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</si>
  <si>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</si>
  <si>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</si>
  <si>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</si>
  <si>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</si>
  <si>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</si>
  <si>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</si>
  <si>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</si>
  <si>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</si>
  <si>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</si>
  <si>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</si>
  <si>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</si>
  <si>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</si>
  <si>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</si>
  <si>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</si>
  <si>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</si>
  <si>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</si>
  <si>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</si>
  <si>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</si>
  <si>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</si>
  <si>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</si>
  <si>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</si>
  <si>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</si>
  <si>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</si>
  <si>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</si>
  <si>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</si>
  <si>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</si>
  <si>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</si>
  <si>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</si>
  <si>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</si>
  <si>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</si>
  <si>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</si>
  <si>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</si>
  <si>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</si>
  <si>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</si>
  <si>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</si>
  <si>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</si>
  <si>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</si>
  <si>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</si>
  <si>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</si>
  <si>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</si>
  <si>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</si>
  <si>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</si>
  <si>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</si>
  <si>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</si>
  <si>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</si>
  <si>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</si>
  <si>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</si>
  <si>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</si>
  <si>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</si>
  <si>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</si>
  <si>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</si>
  <si>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</si>
  <si>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</si>
  <si>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</si>
  <si>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</si>
  <si>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</si>
  <si>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</si>
  <si>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</si>
  <si>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</si>
  <si>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</si>
  <si>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</si>
  <si>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</si>
  <si>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</si>
  <si>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</si>
  <si>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</si>
  <si>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</si>
  <si>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</si>
  <si>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</si>
  <si>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</si>
  <si>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</si>
  <si>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</si>
  <si>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</si>
  <si>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</si>
  <si>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</si>
  <si>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</si>
  <si>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</si>
  <si>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</si>
  <si>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</si>
  <si>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</si>
  <si>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</si>
  <si>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</si>
  <si>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</si>
  <si>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</si>
  <si>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</si>
  <si>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</si>
  <si>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</si>
  <si>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</si>
  <si>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</si>
  <si>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</si>
  <si>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</si>
  <si>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</si>
  <si>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</si>
  <si>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</si>
  <si>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</si>
  <si>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</si>
  <si>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</si>
  <si>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</si>
  <si>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</si>
  <si>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</si>
  <si>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</si>
  <si>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</si>
  <si>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</si>
  <si>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</si>
  <si>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</si>
  <si>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</si>
  <si>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</si>
  <si>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</si>
  <si>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</si>
  <si>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</si>
  <si>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</si>
  <si>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</si>
  <si>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</si>
  <si>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</si>
  <si>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</si>
  <si>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</si>
  <si>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</si>
  <si>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</si>
  <si>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</si>
  <si>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</si>
  <si>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</si>
  <si>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</si>
  <si>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</si>
  <si>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</si>
  <si>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</si>
  <si>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</si>
  <si>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</si>
  <si>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</si>
  <si>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</si>
  <si>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</si>
  <si>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</si>
  <si>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</si>
  <si>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</si>
  <si>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</si>
  <si>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</si>
  <si>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</si>
  <si>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</si>
  <si>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</si>
  <si>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</si>
  <si>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</si>
  <si>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</si>
  <si>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</si>
  <si>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</si>
  <si>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</si>
  <si>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</si>
  <si>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</si>
  <si>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</si>
  <si>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</si>
  <si>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</si>
  <si>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</si>
  <si>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</si>
  <si>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</si>
  <si>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</si>
  <si>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</si>
  <si>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</si>
  <si>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</si>
  <si>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</si>
  <si>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</si>
  <si>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</si>
  <si>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</si>
  <si>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</si>
  <si>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</si>
  <si>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</si>
  <si>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</si>
  <si>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</si>
  <si>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</si>
  <si>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</si>
  <si>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</si>
  <si>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</si>
  <si>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</si>
  <si>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</si>
  <si>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</si>
  <si>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</si>
  <si>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</si>
  <si>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</si>
  <si>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</si>
  <si>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</si>
  <si>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</si>
  <si>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</si>
  <si>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</si>
  <si>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</si>
  <si>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</si>
  <si>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</si>
  <si>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</si>
  <si>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</si>
  <si>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</si>
  <si>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</si>
  <si>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</si>
  <si>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</si>
  <si>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</si>
  <si>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</si>
  <si>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</si>
  <si>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</si>
  <si>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</si>
  <si>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</si>
  <si>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</si>
  <si>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</si>
  <si>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</si>
  <si>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</si>
  <si>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</si>
  <si>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</si>
  <si>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</si>
  <si>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</si>
  <si>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</si>
  <si>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</si>
  <si>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</si>
  <si>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</si>
  <si>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</si>
  <si>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</si>
  <si>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</si>
  <si>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</si>
  <si>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</si>
  <si>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</si>
  <si>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</si>
  <si>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</si>
  <si>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</si>
  <si>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</si>
  <si>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</si>
  <si>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</si>
  <si>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</si>
  <si>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</si>
  <si>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</si>
  <si>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</si>
  <si>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</si>
  <si>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</si>
  <si>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</si>
  <si>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</si>
  <si>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</si>
  <si>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</si>
  <si>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</si>
  <si>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</si>
  <si>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</si>
  <si>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</si>
  <si>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</si>
  <si>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</si>
  <si>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</si>
  <si>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</si>
  <si>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</si>
  <si>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</si>
  <si>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</si>
  <si>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</si>
  <si>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</si>
  <si>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</si>
  <si>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</si>
  <si>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</si>
  <si>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</si>
  <si>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</si>
  <si>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</si>
  <si>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</si>
  <si>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</si>
  <si>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</si>
  <si>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</si>
  <si>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</si>
  <si>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</si>
  <si>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</si>
  <si>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</si>
  <si>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</si>
  <si>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</si>
  <si>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</si>
  <si>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</si>
  <si>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</si>
  <si>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</si>
  <si>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</si>
  <si>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</si>
  <si>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</si>
  <si>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</si>
  <si>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</si>
  <si>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</si>
  <si>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</si>
  <si>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</si>
  <si>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</si>
  <si>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</si>
  <si>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</si>
  <si>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</si>
  <si>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</si>
  <si>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</si>
  <si>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</si>
  <si>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</si>
  <si>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</si>
  <si>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</si>
  <si>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</si>
  <si>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</si>
  <si>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</si>
  <si>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</si>
  <si>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</si>
  <si>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</si>
  <si>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</si>
  <si>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</si>
  <si>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</si>
  <si>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</si>
  <si>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</si>
  <si>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</si>
  <si>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</si>
  <si>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</si>
  <si>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</si>
  <si>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</si>
  <si>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</si>
  <si>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</si>
  <si>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</si>
  <si>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</si>
  <si>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</si>
  <si>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</si>
  <si>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</si>
  <si>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</si>
  <si>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</si>
  <si>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</si>
  <si>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</si>
  <si>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</si>
  <si>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</si>
  <si>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</si>
  <si>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</si>
  <si>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</si>
  <si>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</si>
  <si>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</si>
  <si>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</si>
  <si>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</si>
  <si>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</si>
  <si>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</si>
  <si>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</si>
  <si>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</si>
  <si>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</si>
  <si>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</si>
  <si>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</si>
  <si>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</si>
  <si>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</si>
  <si>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</si>
  <si>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</si>
  <si>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</si>
  <si>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</si>
  <si>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</si>
  <si>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</si>
  <si>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</si>
  <si>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</si>
  <si>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</si>
  <si>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</si>
  <si>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</si>
  <si>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</si>
  <si>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</si>
  <si>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</si>
  <si>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</si>
  <si>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</si>
  <si>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</si>
  <si>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</si>
  <si>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</si>
  <si>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</si>
  <si>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</si>
  <si>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</si>
  <si>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</si>
  <si>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</si>
  <si>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</si>
  <si>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</si>
  <si>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</si>
  <si>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</si>
  <si>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</si>
  <si>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</si>
  <si>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</si>
  <si>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</si>
  <si>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</si>
  <si>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</si>
  <si>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</si>
  <si>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</si>
  <si>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</si>
  <si>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</si>
  <si>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</si>
  <si>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</si>
  <si>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</si>
  <si>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</si>
  <si>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</si>
  <si>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</si>
  <si>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</si>
  <si>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</si>
  <si>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</si>
  <si>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</si>
  <si>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</si>
  <si>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</si>
  <si>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</si>
  <si>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</si>
  <si>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</si>
  <si>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</si>
  <si>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</si>
  <si>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</si>
  <si>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</si>
  <si>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</si>
  <si>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</si>
  <si>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</si>
  <si>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</si>
  <si>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</si>
  <si>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</si>
  <si>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</si>
  <si>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</si>
  <si>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</si>
  <si>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</si>
  <si>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</si>
  <si>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</si>
  <si>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</si>
  <si>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</si>
  <si>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</si>
  <si>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</si>
  <si>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</si>
  <si>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</si>
  <si>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</si>
  <si>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</si>
  <si>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</si>
  <si>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</si>
  <si>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</si>
  <si>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</si>
  <si>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</si>
  <si>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</si>
  <si>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</si>
  <si>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</si>
  <si>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</si>
  <si>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</si>
  <si>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</si>
  <si>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</si>
  <si>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</si>
  <si>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</si>
  <si>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</si>
  <si>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</si>
  <si>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</si>
  <si>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</si>
  <si>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</si>
  <si>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</si>
  <si>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</si>
  <si>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</si>
  <si>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</si>
  <si>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</si>
  <si>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</si>
  <si>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</si>
  <si>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</si>
  <si>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</si>
  <si>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</si>
  <si>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</si>
  <si>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</si>
  <si>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</si>
  <si>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</si>
  <si>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</si>
  <si>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</si>
  <si>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</si>
  <si>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</si>
  <si>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</si>
  <si>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</si>
  <si>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</si>
  <si>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</si>
  <si>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</si>
  <si>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</si>
  <si>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</si>
  <si>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</si>
  <si>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</si>
  <si>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</si>
  <si>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</si>
  <si>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</si>
  <si>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</si>
  <si>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</si>
  <si>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</si>
  <si>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</si>
  <si>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</si>
  <si>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</si>
  <si>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</si>
  <si>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</si>
  <si>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</si>
  <si>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</si>
  <si>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</si>
  <si>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</si>
  <si>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</si>
  <si>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</si>
  <si>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</si>
  <si>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</si>
  <si>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</si>
  <si>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</si>
  <si>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</si>
  <si>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</si>
  <si>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</si>
  <si>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</si>
  <si>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</si>
  <si>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</si>
  <si>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</si>
  <si>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</si>
  <si>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</si>
  <si>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</si>
  <si>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</si>
  <si>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</si>
  <si>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</si>
  <si>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</si>
  <si>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</si>
  <si>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</si>
  <si>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</si>
  <si>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</si>
  <si>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</si>
  <si>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</si>
  <si>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</si>
  <si>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</si>
  <si>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</si>
  <si>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</si>
  <si>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</si>
  <si>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</si>
  <si>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</si>
  <si>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</si>
  <si>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</si>
  <si>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</si>
  <si>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</si>
  <si>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</si>
  <si>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</si>
  <si>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</si>
  <si>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</si>
  <si>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</si>
  <si>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</si>
  <si>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</si>
  <si>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</si>
  <si>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</si>
  <si>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</si>
  <si>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</si>
  <si>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</si>
  <si>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</si>
  <si>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</si>
  <si>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</si>
  <si>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</si>
  <si>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</si>
  <si>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</si>
  <si>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</si>
  <si>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</si>
  <si>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</si>
  <si>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</si>
  <si>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</si>
  <si>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</si>
  <si>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</si>
  <si>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</si>
  <si>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</si>
  <si>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</si>
  <si>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</si>
  <si>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</si>
  <si>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</si>
  <si>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</si>
  <si>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</si>
  <si>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</si>
  <si>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</si>
  <si>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</si>
  <si>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</si>
  <si>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</si>
  <si>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</si>
  <si>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</si>
  <si>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</si>
  <si>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</si>
  <si>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</si>
  <si>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</si>
  <si>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</si>
  <si>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</si>
  <si>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</si>
  <si>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</si>
  <si>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</si>
  <si>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</si>
  <si>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</si>
  <si>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</si>
  <si>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</si>
  <si>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</si>
  <si>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</si>
  <si>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</si>
  <si>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</si>
  <si>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</si>
  <si>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</si>
  <si>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</si>
  <si>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</si>
  <si>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</si>
  <si>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</si>
  <si>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</si>
  <si>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</si>
  <si>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</si>
  <si>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</si>
  <si>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</si>
  <si>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</si>
  <si>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</si>
  <si>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</si>
  <si>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</si>
  <si>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</si>
  <si>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</si>
  <si>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</si>
  <si>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</si>
  <si>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</si>
  <si>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</si>
  <si>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</si>
  <si>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</si>
  <si>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</si>
  <si>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</si>
  <si>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</si>
  <si>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</si>
  <si>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</si>
  <si>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</si>
  <si>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</si>
  <si>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</si>
  <si>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</si>
  <si>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</si>
  <si>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</si>
  <si>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</si>
  <si>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</si>
  <si>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</si>
  <si>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</si>
  <si>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</si>
  <si>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</si>
  <si>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</si>
  <si>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</si>
  <si>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</si>
  <si>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</si>
  <si>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</si>
  <si>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</si>
  <si>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</si>
  <si>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</si>
  <si>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</si>
  <si>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</si>
  <si>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</si>
  <si>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</si>
  <si>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</si>
  <si>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</si>
  <si>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</si>
  <si>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</si>
  <si>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</si>
  <si>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</si>
  <si>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</si>
  <si>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</si>
  <si>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</si>
  <si>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</si>
  <si>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</si>
  <si>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</si>
  <si>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</si>
  <si>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</si>
  <si>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</si>
  <si>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</si>
  <si>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</si>
  <si>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</si>
  <si>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</si>
  <si>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</si>
  <si>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</si>
  <si>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</si>
  <si>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</si>
  <si>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</si>
  <si>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</si>
  <si>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</si>
  <si>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</si>
  <si>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</si>
  <si>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</si>
  <si>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</si>
  <si>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</si>
  <si>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</si>
  <si>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</si>
  <si>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</si>
  <si>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</si>
  <si>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</si>
  <si>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</si>
  <si>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</si>
  <si>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</si>
  <si>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</si>
  <si>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</si>
  <si>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</si>
  <si>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</si>
  <si>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</si>
  <si>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</si>
  <si>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</si>
  <si>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</si>
  <si>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</si>
  <si>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</si>
  <si>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</si>
  <si>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</si>
  <si>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</si>
  <si>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</si>
  <si>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</si>
  <si>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</si>
  <si>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</si>
  <si>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</si>
  <si>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</si>
  <si>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</si>
  <si>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</si>
  <si>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</si>
  <si>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</si>
  <si>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</si>
  <si>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</si>
  <si>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</si>
  <si>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</si>
  <si>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</si>
  <si>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</si>
  <si>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</si>
  <si>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</si>
  <si>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</si>
  <si>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</si>
  <si>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</si>
  <si>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</si>
  <si>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</si>
  <si>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</si>
  <si>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</si>
  <si>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</si>
  <si>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</si>
  <si>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</si>
  <si>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</si>
  <si>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</si>
  <si>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</si>
  <si>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</si>
  <si>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</si>
  <si>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</si>
  <si>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</si>
  <si>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</si>
  <si>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</si>
  <si>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</si>
  <si>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</si>
  <si>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</si>
  <si>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</si>
  <si>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</si>
  <si>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</si>
  <si>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</si>
  <si>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</si>
  <si>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</si>
  <si>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</si>
  <si>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</si>
  <si>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</si>
  <si>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</si>
  <si>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</si>
  <si>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</si>
  <si>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</si>
  <si>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</si>
  <si>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</si>
  <si>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</si>
  <si>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</si>
  <si>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</si>
  <si>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</si>
  <si>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</si>
  <si>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</si>
  <si>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</si>
  <si>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</si>
  <si>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</si>
  <si>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</si>
  <si>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</si>
  <si>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</si>
  <si>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</si>
  <si>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</si>
  <si>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</si>
  <si>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</si>
  <si>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</si>
  <si>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</si>
  <si>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</si>
  <si>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</si>
  <si>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</si>
  <si>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</si>
  <si>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</si>
  <si>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</si>
  <si>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</si>
  <si>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</si>
  <si>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</si>
  <si>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</si>
  <si>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</si>
  <si>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</si>
  <si>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</si>
  <si>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</si>
  <si>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</si>
  <si>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</si>
  <si>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</si>
  <si>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</si>
  <si>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</si>
  <si>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</si>
  <si>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</si>
  <si>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</si>
  <si>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</si>
  <si>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</si>
  <si>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</si>
  <si>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</si>
  <si>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</si>
  <si>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</si>
  <si>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</si>
  <si>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</si>
  <si>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</si>
  <si>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</si>
  <si>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</si>
  <si>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</si>
  <si>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</si>
  <si>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</si>
  <si>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</si>
  <si>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</si>
  <si>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</si>
  <si>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</si>
  <si>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</si>
  <si>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</si>
  <si>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</si>
  <si>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</si>
  <si>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</si>
  <si>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</si>
  <si>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</si>
  <si>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</si>
  <si>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</si>
  <si>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</si>
  <si>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</si>
  <si>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</si>
  <si>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</si>
  <si>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</si>
  <si>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</si>
  <si>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</si>
  <si>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</si>
  <si>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</si>
  <si>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</si>
  <si>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</si>
  <si>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</si>
  <si>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</si>
  <si>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</si>
  <si>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</si>
  <si>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</si>
  <si>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</si>
  <si>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</si>
  <si>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</si>
  <si>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</si>
  <si>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</si>
  <si>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</si>
  <si>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</si>
  <si>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</si>
  <si>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</si>
  <si>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</si>
  <si>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</si>
  <si>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</si>
  <si>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</si>
  <si>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</si>
  <si>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</si>
  <si>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</si>
  <si>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</si>
  <si>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</si>
  <si>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</si>
  <si>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</si>
  <si>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</si>
  <si>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</si>
  <si>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</si>
  <si>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</si>
  <si>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</si>
  <si>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</si>
  <si>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</si>
  <si>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</si>
  <si>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</si>
  <si>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</si>
  <si>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</si>
  <si>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</si>
  <si>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</si>
  <si>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</si>
  <si>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</si>
  <si>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</si>
  <si>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</si>
  <si>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</si>
  <si>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</si>
  <si>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</si>
  <si>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</si>
  <si>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</si>
  <si>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</si>
  <si>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</si>
  <si>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</si>
  <si>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</si>
  <si>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</si>
  <si>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</si>
  <si>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</si>
  <si>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</si>
  <si>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</si>
  <si>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</si>
  <si>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</si>
  <si>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</si>
  <si>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</si>
  <si>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</si>
  <si>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</si>
  <si>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</si>
  <si>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</si>
  <si>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</si>
  <si>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</si>
  <si>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</si>
  <si>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</si>
  <si>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</si>
  <si>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</si>
  <si>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</si>
  <si>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</si>
  <si>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</si>
  <si>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</si>
  <si>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</si>
  <si>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</si>
  <si>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</si>
  <si>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</si>
  <si>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</si>
  <si>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</si>
  <si>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</si>
  <si>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</si>
  <si>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</si>
  <si>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</si>
  <si>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</si>
  <si>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</si>
  <si>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</si>
  <si>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</si>
  <si>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</si>
  <si>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</si>
  <si>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</si>
  <si>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</si>
  <si>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</si>
  <si>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</si>
  <si>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</si>
  <si>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</si>
  <si>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</si>
  <si>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</si>
  <si>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</si>
  <si>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</si>
  <si>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</si>
  <si>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</si>
  <si>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</si>
  <si>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</si>
  <si>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</si>
  <si>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</si>
  <si>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</si>
  <si>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</si>
  <si>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</si>
  <si>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</si>
  <si>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</si>
  <si>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</si>
  <si>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</si>
  <si>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</si>
  <si>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</si>
  <si>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</si>
  <si>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</si>
  <si>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</si>
  <si>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</si>
  <si>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</si>
  <si>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</si>
  <si>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</si>
  <si>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</si>
  <si>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</si>
  <si>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</si>
  <si>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</si>
  <si>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</si>
  <si>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</si>
  <si>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</si>
  <si>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</si>
  <si>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</si>
  <si>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</si>
  <si>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</si>
  <si>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</si>
  <si>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</si>
  <si>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</si>
  <si>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</si>
  <si>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</si>
  <si>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</si>
  <si>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</si>
  <si>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</si>
  <si>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</si>
  <si>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</si>
  <si>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</si>
  <si>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</si>
  <si>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</si>
  <si>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</si>
  <si>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</si>
  <si>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</si>
  <si>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</si>
  <si>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</si>
  <si>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</si>
  <si>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</si>
  <si>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</si>
  <si>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</si>
  <si>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</si>
  <si>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</si>
  <si>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</si>
  <si>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</si>
  <si>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</si>
  <si>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</si>
  <si>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</si>
  <si>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</si>
  <si>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</si>
  <si>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</si>
  <si>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</si>
  <si>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</si>
  <si>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</si>
  <si>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</si>
  <si>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</si>
  <si>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</si>
  <si>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</si>
  <si>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</si>
  <si>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</si>
  <si>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</si>
  <si>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</si>
  <si>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</si>
  <si>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</si>
  <si>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</si>
  <si>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</si>
  <si>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</si>
  <si>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</si>
  <si>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</si>
  <si>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</si>
  <si>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</si>
  <si>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</si>
  <si>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</si>
  <si>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</si>
  <si>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</si>
  <si>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</si>
  <si>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</si>
  <si>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</si>
  <si>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</si>
  <si>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</si>
  <si>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</si>
  <si>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</si>
  <si>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</si>
  <si>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</si>
  <si>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</si>
  <si>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</si>
  <si>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</si>
  <si>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</si>
  <si>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</si>
  <si>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</si>
  <si>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</si>
  <si>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</si>
  <si>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</si>
  <si>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</si>
  <si>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</si>
  <si>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</si>
  <si>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</si>
  <si>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</si>
  <si>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</si>
  <si>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</si>
  <si>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</si>
  <si>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</si>
  <si>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</si>
  <si>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</si>
  <si>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</si>
  <si>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</si>
  <si>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</si>
  <si>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</si>
  <si>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</si>
  <si>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</si>
  <si>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</si>
  <si>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</si>
  <si>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</si>
  <si>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</si>
  <si>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</si>
  <si>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</si>
  <si>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</si>
  <si>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</si>
  <si>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</si>
  <si>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</si>
  <si>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</si>
  <si>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</si>
  <si>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</si>
  <si>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</si>
  <si>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</si>
  <si>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</si>
  <si>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</si>
  <si>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</si>
  <si>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</si>
  <si>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</si>
  <si>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</si>
  <si>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</si>
  <si>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</si>
  <si>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</si>
  <si>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</si>
  <si>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</si>
  <si>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</si>
  <si>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</si>
  <si>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</si>
  <si>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</si>
  <si>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</si>
  <si>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</si>
  <si>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</si>
  <si>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</si>
  <si>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</si>
  <si>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</si>
  <si>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</si>
  <si>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</si>
  <si>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</si>
  <si>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</si>
  <si>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</si>
  <si>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</si>
  <si>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</si>
  <si>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</si>
  <si>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</si>
  <si>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</si>
  <si>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</si>
  <si>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</si>
  <si>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</si>
  <si>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</si>
  <si>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</si>
  <si>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</si>
  <si>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</si>
  <si>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</si>
  <si>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</si>
  <si>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</si>
  <si>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</si>
  <si>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</si>
  <si>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</si>
  <si>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</si>
  <si>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</si>
  <si>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</si>
  <si>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</si>
  <si>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</si>
  <si>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</si>
  <si>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</si>
  <si>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</si>
  <si>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</si>
  <si>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</si>
  <si>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</si>
  <si>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</si>
  <si>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</si>
  <si>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</si>
  <si>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</si>
  <si>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</si>
  <si>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</si>
  <si>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</si>
  <si>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</si>
  <si>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</si>
  <si>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</si>
  <si>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</si>
  <si>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</si>
  <si>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</si>
  <si>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</si>
  <si>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</si>
  <si>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</si>
  <si>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</si>
  <si>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</si>
  <si>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</si>
  <si>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</si>
  <si>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</si>
  <si>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</si>
  <si>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</si>
  <si>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</si>
  <si>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</si>
  <si>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</si>
  <si>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</si>
  <si>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</si>
  <si>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</si>
  <si>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</si>
  <si>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</si>
  <si>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</si>
  <si>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</si>
  <si>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</si>
  <si>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</si>
  <si>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</si>
  <si>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</si>
  <si>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</si>
  <si>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</si>
  <si>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</si>
  <si>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</si>
  <si>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</si>
  <si>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</si>
  <si>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</si>
  <si>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</si>
  <si>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</si>
  <si>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</si>
  <si>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</si>
  <si>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</si>
  <si>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</si>
  <si>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</si>
  <si>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</si>
  <si>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</si>
  <si>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</si>
  <si>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</si>
  <si>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</si>
  <si>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</si>
  <si>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</si>
  <si>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</si>
  <si>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</si>
  <si>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</si>
  <si>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</si>
  <si>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</si>
  <si>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</si>
  <si>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</si>
  <si>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</si>
  <si>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</si>
  <si>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</si>
  <si>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</si>
  <si>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</si>
  <si>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</si>
  <si>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</si>
  <si>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</si>
  <si>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</si>
  <si>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</si>
  <si>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</si>
  <si>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</si>
  <si>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</si>
  <si>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</si>
  <si>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</si>
  <si>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</si>
  <si>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</si>
  <si>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</si>
  <si>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</si>
  <si>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</si>
  <si>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</si>
  <si>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</si>
  <si>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</si>
  <si>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</si>
  <si>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</si>
  <si>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</si>
  <si>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</si>
  <si>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</si>
  <si>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</si>
  <si>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</si>
  <si>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</si>
  <si>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</si>
  <si>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</si>
  <si>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</si>
  <si>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</si>
  <si>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</si>
  <si>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</si>
  <si>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</si>
  <si>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</si>
  <si>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</si>
  <si>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</si>
  <si>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</si>
  <si>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</si>
  <si>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</si>
  <si>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</si>
  <si>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</si>
  <si>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</si>
  <si>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</si>
  <si>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</si>
  <si>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</si>
  <si>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</si>
  <si>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</si>
  <si>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</si>
  <si>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</si>
  <si>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</si>
  <si>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</si>
  <si>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</si>
  <si>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</si>
  <si>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</si>
  <si>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</si>
  <si>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</si>
  <si>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</si>
  <si>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</si>
  <si>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</si>
  <si>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</si>
  <si>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</si>
  <si>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</si>
  <si>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</si>
  <si>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</si>
  <si>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</si>
  <si>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</si>
  <si>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</si>
  <si>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</si>
  <si>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</si>
  <si>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</si>
  <si>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</si>
  <si>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</si>
  <si>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</si>
  <si>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</si>
  <si>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</si>
  <si>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</si>
  <si>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</si>
  <si>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</si>
  <si>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</si>
  <si>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</si>
  <si>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</si>
  <si>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</si>
  <si>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</si>
  <si>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</si>
  <si>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</si>
  <si>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</si>
  <si>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</si>
  <si>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</si>
  <si>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</si>
  <si>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</si>
  <si>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</si>
  <si>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</si>
  <si>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</si>
  <si>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</si>
  <si>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</si>
  <si>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</si>
  <si>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</si>
  <si>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</si>
  <si>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</si>
  <si>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</si>
  <si>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</si>
  <si>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</si>
  <si>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</si>
  <si>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</si>
  <si>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</si>
  <si>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</si>
  <si>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</si>
  <si>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</si>
  <si>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</si>
  <si>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</si>
  <si>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</si>
  <si>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</si>
  <si>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</si>
  <si>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</si>
  <si>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</si>
  <si>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</si>
  <si>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</si>
  <si>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</si>
  <si>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</si>
  <si>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</si>
  <si>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</si>
  <si>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</si>
  <si>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</si>
  <si>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</si>
  <si>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</si>
  <si>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</si>
  <si>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</si>
  <si>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</si>
  <si>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</si>
  <si>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</si>
  <si>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</si>
  <si>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</si>
  <si>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</si>
  <si>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</si>
  <si>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</si>
  <si>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</si>
  <si>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</si>
  <si>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</si>
  <si>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</si>
  <si>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</si>
  <si>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</si>
  <si>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</si>
  <si>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</si>
  <si>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</si>
  <si>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</si>
  <si>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</si>
  <si>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</si>
  <si>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</si>
  <si>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</si>
  <si>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</si>
  <si>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</si>
  <si>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</si>
  <si>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</si>
  <si>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</si>
  <si>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</si>
  <si>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</si>
  <si>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</si>
  <si>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</si>
  <si>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</si>
  <si>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</si>
  <si>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</si>
  <si>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</si>
  <si>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</si>
  <si>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</si>
  <si>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</si>
  <si>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</si>
  <si>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</si>
  <si>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</si>
  <si>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</si>
  <si>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</si>
  <si>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</si>
  <si>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</si>
  <si>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</si>
  <si>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</si>
  <si>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</si>
  <si>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</si>
  <si>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</si>
  <si>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</si>
  <si>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</si>
  <si>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</si>
  <si>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</si>
  <si>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</si>
  <si>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</si>
  <si>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</si>
  <si>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</si>
  <si>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</si>
  <si>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</si>
  <si>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</si>
  <si>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</si>
  <si>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</si>
  <si>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</si>
  <si>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</si>
  <si>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</si>
  <si>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</si>
  <si>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</si>
  <si>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</si>
  <si>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</si>
  <si>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</si>
  <si>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</si>
  <si>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</si>
  <si>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</si>
  <si>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</si>
  <si>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</si>
  <si>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</si>
  <si>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</si>
  <si>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</si>
  <si>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</si>
  <si>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</si>
  <si>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</si>
  <si>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</si>
  <si>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</si>
  <si>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</si>
  <si>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</si>
  <si>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</si>
  <si>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</si>
  <si>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</si>
  <si>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</si>
  <si>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</si>
  <si>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</si>
  <si>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</si>
  <si>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</si>
  <si>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</si>
  <si>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</si>
  <si>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</si>
  <si>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</si>
  <si>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</si>
  <si>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</si>
  <si>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</si>
  <si>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</si>
  <si>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</si>
  <si>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</si>
  <si>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</si>
  <si>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</si>
  <si>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</si>
  <si>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</si>
  <si>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</si>
  <si>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</si>
  <si>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</si>
  <si>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</si>
  <si>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</si>
  <si>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</si>
  <si>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</si>
  <si>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</si>
  <si>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</si>
  <si>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</si>
  <si>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</si>
  <si>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</si>
  <si>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</si>
  <si>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</si>
  <si>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</si>
  <si>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</si>
  <si>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</si>
  <si>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</si>
  <si>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</si>
  <si>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</si>
  <si>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</si>
  <si>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</si>
  <si>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</si>
  <si>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</si>
  <si>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</si>
  <si>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</si>
  <si>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</si>
  <si>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</si>
  <si>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</si>
  <si>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</si>
  <si>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</si>
  <si>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</si>
  <si>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</si>
  <si>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</si>
  <si>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</si>
  <si>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</si>
  <si>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</si>
  <si>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</si>
  <si>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</si>
  <si>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</si>
  <si>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</si>
  <si>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</si>
  <si>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</si>
  <si>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</si>
  <si>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</si>
  <si>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</si>
  <si>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</si>
  <si>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</si>
  <si>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</si>
  <si>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</si>
  <si>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</si>
  <si>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</si>
  <si>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</si>
  <si>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</si>
  <si>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</si>
  <si>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</si>
  <si>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</si>
  <si>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</si>
  <si>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</si>
  <si>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</si>
  <si>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</si>
  <si>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</si>
  <si>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</si>
  <si>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</si>
  <si>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</si>
  <si>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</si>
  <si>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</si>
  <si>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</si>
  <si>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</si>
  <si>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</si>
  <si>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</si>
  <si>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</si>
  <si>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</si>
  <si>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</si>
  <si>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</si>
  <si>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</si>
  <si>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</si>
  <si>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</si>
  <si>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</si>
  <si>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</si>
  <si>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</si>
  <si>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</si>
  <si>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</si>
  <si>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</si>
  <si>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</si>
  <si>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</si>
  <si>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</si>
  <si>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</si>
  <si>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</si>
  <si>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</si>
  <si>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</si>
  <si>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</si>
  <si>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</si>
  <si>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</si>
  <si>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</si>
  <si>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</si>
  <si>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</si>
  <si>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</si>
  <si>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</si>
  <si>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</si>
  <si>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</si>
  <si>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</si>
  <si>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</si>
  <si>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</si>
  <si>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</si>
  <si>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</si>
  <si>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</si>
  <si>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</si>
  <si>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</si>
  <si>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</si>
  <si>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</si>
  <si>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</si>
  <si>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</si>
  <si>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</si>
  <si>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</si>
  <si>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</si>
  <si>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</si>
  <si>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</si>
  <si>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</si>
  <si>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</si>
  <si>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</si>
  <si>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</si>
  <si>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</si>
  <si>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</si>
  <si>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</si>
  <si>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</si>
  <si>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</si>
  <si>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</si>
  <si>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</si>
  <si>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</si>
  <si>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</si>
  <si>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</si>
  <si>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</si>
  <si>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</si>
  <si>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</si>
  <si>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</si>
  <si>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</si>
  <si>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</si>
  <si>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</si>
  <si>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</si>
  <si>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</si>
  <si>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</si>
  <si>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</si>
  <si>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</si>
  <si>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</si>
  <si>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</si>
  <si>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</si>
  <si>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</si>
  <si>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</si>
  <si>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</si>
  <si>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</si>
  <si>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</si>
  <si>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</si>
  <si>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</si>
  <si>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</si>
  <si>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</si>
  <si>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</si>
  <si>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</si>
  <si>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</si>
  <si>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</si>
  <si>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</si>
  <si>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</si>
  <si>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</si>
  <si>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</si>
  <si>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</si>
  <si>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</si>
  <si>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</si>
  <si>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</si>
  <si>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</si>
  <si>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</si>
  <si>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</si>
  <si>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</si>
  <si>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</si>
  <si>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</si>
  <si>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</si>
  <si>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</si>
  <si>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</si>
  <si>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</si>
  <si>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</si>
  <si>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</si>
  <si>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</si>
  <si>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</si>
  <si>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</si>
  <si>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</si>
  <si>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</si>
  <si>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</si>
  <si>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</si>
  <si>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</si>
  <si>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</si>
  <si>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</si>
  <si>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</si>
  <si>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</si>
  <si>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</si>
  <si>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</si>
  <si>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</si>
  <si>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</si>
  <si>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</si>
  <si>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</si>
  <si>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</si>
  <si>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</si>
  <si>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</si>
  <si>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</si>
  <si>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</si>
  <si>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</si>
  <si>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</si>
  <si>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</si>
  <si>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</si>
  <si>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</si>
  <si>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</si>
  <si>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</si>
  <si>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</si>
  <si>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</si>
  <si>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</si>
  <si>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</si>
  <si>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</si>
  <si>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</si>
  <si>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</si>
  <si>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</si>
  <si>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</si>
  <si>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</si>
  <si>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</si>
  <si>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</si>
  <si>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</si>
  <si>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</si>
  <si>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</si>
  <si>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</si>
  <si>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</si>
  <si>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</si>
  <si>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</si>
  <si>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</si>
  <si>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</si>
  <si>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</si>
  <si>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</si>
  <si>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</si>
  <si>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</si>
  <si>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</si>
  <si>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</si>
  <si>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</si>
  <si>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</si>
  <si>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</si>
  <si>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</si>
  <si>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</si>
  <si>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</si>
  <si>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</si>
  <si>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</si>
  <si>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</si>
  <si>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</si>
  <si>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</si>
  <si>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</si>
  <si>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</si>
  <si>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</si>
  <si>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</si>
  <si>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</si>
  <si>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</si>
  <si>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</si>
  <si>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</si>
  <si>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</si>
  <si>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</si>
  <si>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</si>
  <si>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</si>
  <si>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</si>
  <si>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</si>
  <si>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</si>
  <si>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</si>
  <si>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</si>
  <si>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</si>
  <si>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</si>
  <si>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</si>
  <si>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</si>
  <si>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</si>
  <si>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</si>
  <si>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</si>
  <si>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</si>
  <si>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</si>
  <si>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</si>
  <si>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</si>
  <si>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</si>
  <si>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</si>
  <si>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</si>
  <si>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</si>
  <si>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</si>
  <si>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</si>
  <si>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</si>
  <si>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</si>
  <si>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</si>
  <si>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</si>
  <si>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</si>
  <si>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</si>
  <si>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</si>
  <si>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</si>
  <si>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</si>
  <si>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</si>
  <si>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</si>
  <si>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</si>
  <si>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</si>
  <si>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</si>
  <si>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</si>
  <si>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</si>
  <si>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</si>
  <si>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</si>
  <si>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</si>
  <si>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</si>
  <si>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</si>
  <si>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</si>
  <si>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</si>
  <si>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</si>
  <si>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</si>
  <si>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</si>
  <si>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</si>
  <si>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</si>
  <si>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</si>
  <si>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</si>
  <si>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</si>
  <si>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</si>
  <si>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</si>
  <si>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</si>
  <si>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</si>
  <si>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</si>
  <si>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</si>
  <si>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</si>
  <si>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</si>
  <si>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</si>
  <si>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</si>
  <si>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</si>
  <si>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</si>
  <si>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</si>
  <si>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</si>
  <si>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</si>
  <si>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</si>
  <si>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</si>
  <si>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</si>
  <si>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</si>
  <si>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</si>
  <si>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</si>
  <si>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</si>
  <si>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</si>
  <si>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</si>
  <si>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</si>
  <si>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</si>
  <si>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</si>
  <si>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</si>
  <si>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</si>
  <si>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</si>
  <si>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</si>
  <si>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</si>
  <si>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</si>
  <si>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</si>
  <si>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</si>
  <si>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</si>
  <si>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</si>
  <si>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</si>
  <si>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</si>
  <si>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</si>
  <si>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</si>
  <si>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</si>
  <si>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</si>
  <si>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</si>
  <si>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</si>
  <si>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</si>
  <si>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</si>
  <si>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</si>
  <si>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</si>
  <si>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</si>
  <si>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</si>
  <si>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</si>
  <si>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</si>
  <si>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</si>
  <si>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</si>
  <si>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</si>
  <si>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</si>
  <si>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</si>
  <si>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</si>
  <si>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</si>
  <si>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</si>
  <si>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</si>
  <si>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</si>
  <si>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</si>
  <si>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</si>
  <si>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</si>
  <si>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</si>
  <si>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</si>
  <si>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</si>
  <si>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</si>
  <si>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</si>
  <si>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</si>
  <si>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</si>
  <si>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</si>
  <si>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</si>
  <si>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</si>
  <si>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</si>
  <si>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</si>
  <si>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</si>
  <si>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</si>
  <si>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</si>
  <si>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</si>
  <si>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</si>
  <si>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</si>
  <si>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</si>
  <si>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</si>
  <si>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</si>
  <si>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</si>
  <si>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</si>
  <si>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</si>
  <si>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</si>
  <si>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</si>
  <si>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</si>
  <si>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</si>
  <si>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</si>
  <si>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</si>
  <si>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</si>
  <si>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</si>
  <si>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</si>
  <si>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</si>
  <si>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</si>
  <si>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</si>
  <si>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</si>
  <si>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</si>
  <si>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</si>
  <si>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</si>
  <si>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</si>
  <si>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</si>
  <si>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</si>
  <si>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</si>
  <si>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</si>
  <si>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</si>
  <si>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</si>
  <si>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</si>
  <si>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</si>
  <si>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</si>
  <si>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</si>
  <si>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</si>
  <si>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</si>
  <si>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</si>
  <si>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</si>
  <si>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</si>
  <si>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</si>
  <si>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</si>
  <si>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</si>
  <si>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</si>
  <si>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</si>
  <si>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</si>
  <si>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</si>
  <si>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</si>
  <si>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</si>
  <si>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</si>
  <si>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</si>
  <si>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</si>
  <si>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</si>
  <si>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</si>
  <si>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</si>
  <si>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</si>
  <si>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</si>
  <si>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</si>
  <si>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</si>
  <si>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</si>
  <si>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</si>
  <si>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</si>
  <si>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</si>
  <si>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</si>
  <si>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</si>
  <si>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</si>
  <si>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</si>
  <si>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</si>
  <si>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</si>
  <si>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</si>
  <si>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</si>
  <si>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</si>
  <si>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</si>
  <si>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</si>
  <si>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</si>
  <si>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</si>
  <si>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</si>
  <si>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</si>
  <si>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</si>
  <si>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</si>
  <si>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</si>
  <si>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</si>
  <si>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</si>
  <si>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</si>
  <si>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</si>
  <si>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</si>
  <si>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</si>
  <si>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</si>
  <si>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</si>
  <si>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</si>
  <si>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</si>
  <si>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</si>
  <si>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</si>
  <si>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</si>
  <si>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</si>
  <si>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</si>
  <si>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</si>
  <si>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</si>
  <si>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</si>
  <si>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</si>
  <si>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</si>
  <si>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</si>
  <si>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</si>
  <si>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</si>
  <si>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</si>
  <si>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</si>
  <si>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</si>
  <si>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</si>
  <si>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</si>
  <si>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</si>
  <si>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</si>
  <si>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</si>
  <si>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</si>
  <si>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</si>
  <si>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</si>
  <si>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</si>
  <si>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</si>
  <si>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</si>
  <si>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</si>
  <si>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</si>
  <si>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</si>
  <si>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</si>
  <si>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</si>
  <si>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</si>
  <si>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</si>
  <si>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</si>
  <si>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</si>
  <si>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</si>
  <si>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</si>
  <si>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</si>
  <si>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</si>
  <si>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</si>
  <si>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</si>
  <si>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</si>
  <si>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</si>
  <si>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</si>
  <si>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</si>
  <si>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</si>
  <si>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</si>
  <si>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</si>
  <si>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</si>
  <si>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</si>
  <si>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</si>
  <si>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</si>
  <si>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</si>
  <si>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</si>
  <si>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</si>
  <si>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</si>
  <si>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</si>
  <si>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</si>
  <si>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</si>
  <si>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</si>
  <si>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</si>
  <si>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</si>
  <si>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</si>
  <si>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</si>
  <si>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</si>
  <si>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</si>
  <si>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</si>
  <si>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</si>
  <si>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</si>
  <si>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</si>
  <si>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</si>
  <si>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</si>
  <si>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</si>
  <si>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</si>
  <si>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</si>
  <si>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</si>
  <si>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</si>
  <si>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</si>
  <si>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</si>
  <si>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</si>
  <si>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</si>
  <si>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</si>
  <si>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</si>
  <si>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</si>
  <si>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</si>
  <si>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</si>
  <si>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</si>
  <si>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</si>
  <si>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</si>
  <si>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</si>
  <si>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</si>
  <si>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</si>
  <si>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</si>
  <si>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</si>
  <si>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</si>
  <si>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</si>
  <si>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</si>
  <si>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</si>
  <si>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</si>
  <si>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</si>
  <si>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</si>
  <si>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</si>
  <si>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</si>
  <si>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</si>
  <si>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</si>
  <si>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</si>
  <si>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</si>
  <si>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</si>
  <si>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</si>
  <si>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</si>
  <si>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</si>
  <si>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</si>
  <si>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</si>
  <si>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</si>
  <si>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</si>
  <si>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</si>
  <si>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</si>
  <si>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</si>
  <si>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</si>
  <si>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</si>
  <si>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</si>
  <si>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</si>
  <si>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</si>
  <si>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</si>
  <si>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</si>
  <si>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</si>
  <si>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</si>
  <si>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</si>
  <si>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</si>
  <si>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</si>
  <si>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</si>
  <si>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</si>
  <si>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</si>
  <si>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</si>
  <si>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</si>
  <si>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</si>
  <si>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</si>
  <si>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</si>
  <si>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</si>
  <si>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</si>
  <si>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</si>
  <si>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</si>
  <si>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</si>
  <si>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</si>
  <si>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</si>
  <si>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</si>
  <si>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</si>
  <si>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</si>
  <si>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</si>
  <si>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</si>
  <si>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</si>
  <si>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</si>
  <si>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</si>
  <si>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</si>
  <si>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</si>
  <si>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</si>
  <si>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</si>
  <si>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</si>
  <si>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</si>
  <si>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</si>
  <si>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</si>
  <si>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</si>
  <si>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</si>
  <si>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</si>
  <si>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</si>
  <si>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</si>
  <si>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</si>
  <si>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</si>
  <si>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</si>
  <si>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</si>
  <si>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</si>
  <si>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</si>
  <si>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</si>
  <si>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</si>
  <si>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</si>
  <si>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</si>
  <si>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</si>
  <si>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</si>
  <si>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</si>
  <si>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</si>
  <si>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</si>
  <si>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</si>
  <si>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</si>
  <si>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</si>
  <si>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</si>
  <si>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</si>
  <si>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</si>
  <si>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</si>
  <si>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</si>
  <si>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</si>
  <si>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</si>
  <si>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</si>
  <si>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</si>
  <si>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</si>
  <si>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</si>
  <si>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</si>
  <si>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</si>
  <si>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</si>
  <si>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</si>
  <si>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</si>
  <si>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</si>
  <si>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</si>
  <si>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</si>
  <si>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</si>
  <si>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</si>
  <si>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</si>
  <si>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</si>
  <si>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</si>
  <si>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</si>
  <si>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</si>
  <si>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</si>
  <si>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</si>
  <si>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</si>
  <si>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</si>
  <si>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</si>
  <si>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</si>
  <si>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</si>
  <si>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</si>
  <si>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</si>
  <si>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</si>
  <si>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</si>
  <si>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</si>
  <si>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</si>
  <si>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</si>
  <si>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</si>
  <si>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</si>
  <si>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</si>
  <si>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</si>
  <si>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</si>
  <si>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</si>
  <si>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</si>
  <si>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</si>
  <si>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</si>
  <si>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</si>
  <si>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</si>
  <si>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</si>
  <si>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</si>
  <si>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</si>
  <si>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</si>
  <si>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</si>
  <si>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</si>
  <si>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</si>
  <si>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</si>
  <si>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</si>
  <si>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</si>
  <si>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</si>
  <si>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</si>
  <si>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</si>
  <si>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</si>
  <si>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</si>
  <si>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</si>
  <si>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</si>
  <si>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</si>
  <si>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</si>
  <si>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</si>
  <si>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</si>
  <si>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</si>
  <si>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</si>
  <si>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</si>
  <si>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</si>
  <si>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</si>
  <si>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</si>
  <si>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</si>
  <si>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</si>
  <si>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</si>
  <si>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</si>
  <si>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</si>
  <si>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</si>
  <si>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</si>
  <si>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</si>
  <si>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</si>
  <si>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</si>
  <si>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</si>
  <si>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</si>
  <si>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</si>
  <si>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</si>
  <si>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</si>
  <si>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</si>
  <si>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</si>
  <si>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</si>
  <si>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</si>
  <si>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</si>
  <si>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</si>
  <si>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</si>
  <si>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</si>
  <si>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</si>
  <si>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</si>
  <si>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</si>
  <si>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</si>
  <si>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</si>
  <si>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</si>
  <si>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</si>
  <si>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</si>
  <si>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</si>
  <si>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</si>
  <si>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</si>
  <si>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</si>
  <si>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</si>
  <si>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</si>
  <si>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</si>
  <si>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</si>
  <si>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</si>
  <si>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</si>
  <si>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</si>
  <si>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</si>
  <si>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</si>
  <si>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</si>
  <si>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</si>
  <si>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</si>
  <si>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</si>
  <si>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</si>
  <si>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</si>
  <si>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</si>
  <si>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</si>
  <si>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</si>
  <si>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</si>
  <si>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</si>
  <si>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</si>
  <si>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</si>
  <si>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</si>
  <si>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</si>
  <si>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</si>
  <si>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</si>
  <si>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</si>
  <si>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</si>
  <si>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</si>
  <si>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</si>
  <si>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</si>
  <si>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</si>
  <si>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</si>
  <si>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</si>
  <si>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</si>
  <si>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</si>
  <si>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</si>
  <si>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</si>
  <si>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</si>
  <si>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</si>
  <si>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</si>
  <si>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</si>
  <si>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</si>
  <si>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</si>
  <si>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</si>
  <si>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</si>
  <si>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</si>
  <si>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</si>
  <si>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</si>
  <si>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</si>
  <si>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</si>
  <si>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</si>
  <si>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</si>
  <si>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</si>
  <si>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</si>
  <si>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</si>
  <si>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</si>
  <si>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</si>
  <si>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</si>
  <si>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</si>
  <si>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</si>
  <si>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</si>
  <si>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</si>
  <si>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</si>
  <si>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</si>
  <si>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</si>
  <si>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</si>
  <si>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</si>
  <si>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</si>
  <si>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</si>
  <si>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</si>
  <si>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</si>
  <si>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</si>
  <si>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</si>
  <si>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</si>
  <si>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</si>
  <si>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</si>
  <si>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</si>
  <si>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</si>
  <si>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</si>
  <si>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</si>
  <si>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</si>
  <si>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</si>
  <si>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</si>
  <si>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</si>
  <si>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</si>
  <si>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</si>
  <si>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</si>
  <si>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</si>
  <si>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</si>
  <si>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</si>
  <si>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</si>
  <si>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</si>
  <si>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</si>
  <si>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</si>
  <si>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</si>
  <si>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</si>
  <si>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</si>
  <si>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</si>
  <si>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</si>
  <si>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</si>
  <si>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</si>
  <si>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</si>
  <si>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</si>
  <si>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</si>
  <si>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</si>
  <si>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</si>
  <si>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</si>
  <si>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</si>
  <si>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</si>
  <si>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</si>
  <si>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</si>
  <si>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</si>
  <si>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</si>
  <si>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</si>
  <si>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</si>
  <si>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</si>
  <si>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</si>
  <si>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</si>
  <si>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</si>
  <si>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</si>
  <si>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</si>
  <si>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</si>
  <si>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</si>
  <si>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</si>
  <si>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</si>
  <si>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</si>
  <si>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</si>
  <si>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</si>
  <si>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</si>
  <si>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</si>
  <si>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</si>
  <si>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</si>
  <si>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</si>
  <si>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</si>
  <si>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</si>
  <si>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</si>
  <si>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</si>
  <si>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</si>
  <si>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</si>
  <si>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</si>
  <si>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</si>
  <si>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</si>
  <si>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</si>
  <si>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</si>
  <si>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</si>
  <si>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</si>
  <si>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</si>
  <si>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</si>
  <si>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</si>
  <si>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</si>
  <si>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</si>
  <si>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</si>
  <si>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</si>
  <si>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</si>
  <si>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</si>
  <si>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</si>
  <si>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</si>
  <si>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</si>
  <si>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</si>
  <si>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</si>
  <si>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</si>
  <si>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</si>
  <si>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</si>
  <si>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</si>
  <si>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</si>
  <si>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</si>
  <si>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</si>
  <si>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</si>
  <si>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</si>
  <si>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</si>
  <si>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</si>
  <si>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</si>
  <si>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</si>
  <si>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</si>
  <si>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</si>
  <si>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</si>
  <si>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</si>
  <si>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</si>
  <si>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</si>
  <si>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</si>
  <si>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</si>
  <si>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</si>
  <si>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</si>
  <si>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</si>
  <si>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</si>
  <si>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</si>
  <si>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</si>
  <si>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</si>
  <si>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</si>
  <si>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</si>
  <si>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</si>
  <si>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</si>
  <si>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</si>
  <si>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</si>
  <si>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</si>
  <si>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</si>
  <si>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</si>
  <si>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</si>
  <si>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</si>
  <si>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</si>
  <si>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</si>
  <si>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</si>
  <si>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</si>
  <si>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</si>
  <si>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</si>
  <si>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</si>
  <si>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</si>
  <si>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</si>
  <si>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</si>
  <si>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</si>
  <si>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</si>
  <si>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</si>
  <si>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</si>
  <si>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</si>
  <si>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</si>
  <si>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</si>
  <si>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</si>
  <si>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</si>
  <si>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</si>
  <si>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</si>
  <si>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</si>
  <si>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</si>
  <si>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</si>
  <si>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</si>
  <si>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</si>
  <si>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</si>
  <si>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</si>
  <si>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</si>
  <si>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</si>
  <si>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</si>
  <si>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</si>
  <si>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</si>
  <si>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</si>
  <si>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</si>
  <si>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</si>
  <si>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</si>
  <si>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</si>
  <si>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</si>
  <si>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</si>
  <si>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</si>
  <si>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</si>
  <si>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</si>
  <si>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</si>
  <si>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</si>
  <si>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</si>
  <si>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</si>
  <si>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</si>
  <si>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</si>
  <si>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</si>
  <si>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</si>
  <si>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</si>
  <si>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</si>
  <si>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</si>
  <si>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</si>
  <si>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</si>
  <si>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</si>
  <si>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</si>
  <si>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</si>
  <si>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</si>
  <si>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</si>
  <si>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</si>
  <si>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</si>
  <si>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</si>
  <si>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</si>
  <si>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</si>
  <si>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</si>
  <si>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</si>
  <si>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</si>
  <si>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</si>
  <si>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</si>
  <si>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</si>
  <si>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</si>
  <si>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</si>
  <si>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</si>
  <si>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</si>
  <si>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</si>
  <si>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</si>
  <si>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</si>
  <si>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</si>
  <si>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</si>
  <si>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</si>
  <si>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</si>
  <si>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</si>
  <si>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</si>
  <si>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</si>
  <si>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</si>
  <si>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</si>
  <si>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</si>
  <si>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</si>
  <si>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</si>
  <si>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</si>
  <si>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</si>
  <si>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</si>
  <si>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</si>
  <si>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</si>
  <si>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</si>
  <si>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</si>
  <si>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</si>
  <si>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</si>
  <si>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</si>
  <si>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</si>
  <si>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</si>
  <si>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</si>
  <si>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</si>
  <si>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</si>
  <si>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</si>
  <si>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</si>
  <si>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</si>
  <si>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</si>
  <si>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</si>
  <si>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</si>
  <si>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</si>
  <si>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</si>
  <si>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</si>
  <si>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</si>
  <si>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</si>
  <si>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</si>
  <si>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</si>
  <si>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</si>
  <si>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</si>
  <si>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</si>
  <si>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</si>
  <si>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</si>
  <si>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</si>
  <si>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</si>
  <si>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</si>
  <si>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</si>
  <si>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</si>
  <si>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</si>
  <si>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</si>
  <si>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</si>
  <si>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</si>
  <si>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</si>
  <si>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</si>
  <si>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</si>
  <si>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</si>
  <si>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</si>
  <si>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</si>
  <si>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</si>
  <si>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</si>
  <si>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</si>
  <si>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</si>
  <si>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</si>
  <si>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</si>
  <si>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</si>
  <si>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</si>
  <si>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</si>
  <si>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</si>
  <si>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</si>
  <si>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</si>
  <si>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</si>
  <si>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</si>
  <si>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</si>
  <si>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</si>
  <si>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</si>
  <si>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</si>
  <si>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</si>
  <si>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</si>
  <si>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</si>
  <si>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</si>
  <si>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</si>
  <si>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</si>
  <si>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</si>
  <si>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</si>
  <si>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</si>
  <si>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</si>
  <si>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</si>
  <si>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</si>
  <si>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</si>
  <si>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</si>
  <si>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</si>
  <si>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</si>
  <si>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</si>
  <si>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</si>
  <si>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</si>
  <si>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</si>
  <si>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</si>
  <si>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</si>
  <si>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</si>
  <si>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</si>
  <si>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</si>
  <si>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</si>
  <si>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</si>
  <si>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</si>
  <si>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</si>
  <si>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</si>
  <si>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</si>
  <si>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</si>
  <si>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</si>
  <si>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</si>
  <si>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</si>
  <si>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</si>
  <si>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</si>
  <si>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</si>
  <si>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</si>
  <si>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</si>
  <si>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</si>
  <si>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</si>
  <si>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</si>
  <si>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</si>
  <si>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</si>
  <si>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</si>
  <si>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</si>
  <si>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</si>
  <si>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</si>
  <si>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</si>
  <si>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</si>
  <si>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</si>
  <si>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</si>
  <si>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</si>
  <si>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</si>
  <si>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</si>
  <si>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</si>
  <si>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</si>
  <si>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</si>
  <si>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</si>
  <si>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</si>
  <si>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</si>
  <si>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</si>
  <si>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</si>
  <si>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</si>
  <si>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</si>
  <si>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</si>
  <si>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</si>
  <si>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</si>
  <si>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</si>
  <si>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</si>
  <si>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</si>
  <si>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</si>
  <si>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</si>
  <si>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</si>
  <si>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</si>
  <si>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</si>
  <si>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</si>
  <si>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</si>
  <si>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</si>
  <si>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</si>
  <si>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</si>
  <si>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</si>
  <si>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</si>
  <si>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</si>
  <si>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</si>
  <si>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</si>
  <si>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</si>
  <si>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</si>
  <si>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</si>
  <si>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</si>
  <si>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</si>
  <si>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</si>
  <si>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</si>
  <si>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</si>
  <si>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</si>
  <si>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</si>
  <si>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</si>
  <si>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</si>
  <si>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</si>
  <si>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</si>
  <si>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</si>
  <si>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</si>
  <si>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</si>
  <si>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</si>
  <si>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</si>
  <si>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</si>
  <si>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</si>
  <si>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</si>
  <si>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</si>
  <si>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</si>
  <si>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</si>
  <si>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</si>
  <si>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</si>
  <si>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</si>
  <si>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</si>
  <si>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</si>
  <si>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</si>
  <si>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</si>
  <si>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</si>
  <si>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</si>
  <si>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</si>
  <si>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</si>
  <si>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</si>
  <si>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</si>
  <si>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</si>
  <si>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</si>
  <si>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</si>
  <si>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</si>
  <si>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</si>
  <si>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</si>
  <si>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</si>
  <si>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</si>
  <si>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</si>
  <si>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</si>
  <si>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</si>
  <si>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</si>
  <si>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</si>
  <si>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</si>
  <si>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</si>
  <si>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</si>
  <si>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</si>
  <si>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</si>
  <si>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</si>
  <si>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</si>
  <si>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</si>
  <si>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</si>
  <si>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</si>
  <si>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</si>
  <si>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</si>
  <si>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</si>
  <si>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</si>
  <si>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</si>
  <si>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</si>
  <si>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</si>
  <si>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</si>
  <si>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</si>
  <si>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</si>
  <si>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</si>
  <si>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</si>
  <si>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</si>
  <si>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</si>
  <si>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</si>
  <si>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</si>
  <si>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</si>
  <si>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</si>
  <si>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</si>
  <si>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</si>
  <si>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</si>
  <si>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</si>
  <si>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</si>
  <si>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</si>
  <si>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</si>
  <si>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</si>
  <si>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</si>
  <si>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</si>
  <si>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</si>
  <si>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</si>
  <si>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</si>
  <si>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</si>
  <si>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</si>
  <si>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</si>
  <si>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</si>
  <si>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</si>
  <si>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</si>
  <si>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</si>
  <si>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</si>
  <si>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</si>
  <si>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</si>
  <si>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</si>
  <si>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</si>
  <si>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</si>
  <si>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</si>
  <si>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</si>
  <si>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</si>
  <si>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</si>
  <si>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</si>
  <si>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</si>
  <si>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</si>
  <si>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</si>
  <si>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</si>
  <si>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</si>
  <si>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</si>
  <si>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</si>
  <si>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</si>
  <si>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</si>
  <si>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</si>
  <si>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</si>
  <si>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</si>
  <si>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</si>
  <si>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</si>
  <si>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</si>
  <si>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</si>
  <si>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</si>
  <si>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</si>
  <si>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</si>
  <si>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</si>
  <si>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</si>
  <si>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</si>
  <si>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</si>
  <si>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</si>
  <si>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</si>
  <si>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</si>
  <si>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</si>
  <si>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</si>
  <si>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</si>
  <si>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</si>
  <si>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</si>
  <si>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</si>
  <si>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</si>
  <si>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</si>
  <si>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</si>
  <si>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</si>
  <si>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</si>
  <si>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</si>
  <si>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</si>
  <si>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</si>
  <si>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</si>
  <si>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</si>
  <si>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</si>
  <si>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</si>
  <si>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</si>
  <si>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</si>
  <si>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</si>
  <si>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</si>
  <si>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</si>
  <si>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</si>
  <si>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</si>
  <si>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</si>
  <si>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</si>
  <si>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</si>
  <si>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</si>
  <si>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</si>
  <si>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</si>
  <si>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</si>
  <si>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</si>
  <si>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</si>
  <si>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</si>
  <si>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</si>
  <si>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</si>
  <si>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</si>
  <si>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</si>
  <si>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</si>
  <si>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</si>
  <si>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</si>
  <si>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</si>
  <si>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</si>
  <si>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</si>
  <si>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</si>
  <si>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</si>
  <si>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</si>
  <si>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</si>
  <si>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</si>
  <si>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</si>
  <si>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</si>
  <si>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</si>
  <si>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</si>
  <si>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</si>
  <si>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</si>
  <si>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</si>
  <si>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</si>
  <si>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</si>
  <si>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</si>
  <si>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</si>
  <si>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</si>
  <si>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</si>
  <si>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</si>
  <si>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</si>
  <si>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</si>
  <si>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</si>
  <si>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</si>
  <si>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</si>
  <si>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</si>
  <si>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</si>
  <si>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</si>
  <si>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</si>
  <si>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</si>
  <si>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</si>
  <si>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</si>
  <si>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</si>
  <si>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</si>
  <si>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</si>
  <si>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</si>
  <si>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</si>
  <si>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</si>
  <si>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</si>
  <si>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</si>
  <si>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</si>
  <si>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</si>
  <si>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</si>
  <si>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</si>
  <si>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</si>
  <si>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</si>
  <si>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</si>
  <si>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</si>
  <si>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</si>
  <si>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</si>
  <si>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</si>
  <si>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</si>
  <si>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</si>
  <si>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</si>
  <si>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</si>
  <si>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</si>
  <si>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</si>
  <si>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</si>
  <si>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</si>
  <si>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</si>
  <si>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</si>
  <si>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</si>
  <si>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</si>
  <si>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</si>
  <si>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</si>
  <si>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</si>
  <si>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</si>
  <si>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</si>
  <si>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</si>
  <si>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</si>
  <si>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</si>
  <si>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</si>
  <si>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</si>
  <si>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</si>
  <si>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</si>
  <si>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</si>
  <si>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</si>
  <si>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</si>
  <si>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</si>
  <si>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</si>
  <si>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</si>
  <si>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</si>
  <si>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</si>
  <si>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</si>
  <si>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</si>
  <si>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</si>
  <si>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</si>
  <si>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</si>
  <si>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</si>
  <si>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</si>
  <si>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</si>
  <si>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</si>
  <si>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</si>
  <si>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</si>
  <si>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</si>
  <si>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</si>
  <si>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</si>
  <si>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</si>
  <si>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</si>
  <si>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</si>
  <si>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</si>
  <si>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</si>
  <si>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</si>
  <si>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</si>
  <si>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</si>
  <si>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</si>
  <si>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</si>
  <si>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</si>
  <si>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</si>
  <si>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</si>
  <si>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</si>
  <si>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</si>
  <si>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</si>
  <si>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</si>
  <si>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</si>
  <si>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</si>
  <si>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</si>
  <si>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</si>
  <si>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</si>
  <si>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</si>
  <si>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</si>
  <si>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</si>
  <si>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</si>
  <si>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</si>
  <si>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</si>
  <si>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</si>
  <si>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</si>
  <si>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</si>
  <si>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</si>
  <si>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</si>
  <si>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</si>
  <si>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</si>
  <si>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</si>
  <si>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</si>
  <si>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</si>
  <si>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</si>
  <si>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</si>
  <si>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</si>
  <si>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</si>
  <si>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</si>
  <si>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</si>
  <si>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</si>
  <si>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</si>
  <si>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</si>
  <si>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</si>
  <si>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</si>
  <si>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</si>
  <si>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</si>
  <si>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</si>
  <si>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</si>
  <si>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</si>
  <si>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</si>
  <si>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</si>
  <si>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</si>
  <si>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</si>
  <si>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</si>
  <si>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</si>
  <si>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</si>
  <si>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</si>
  <si>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</si>
  <si>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</si>
  <si>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</si>
  <si>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</si>
  <si>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</si>
  <si>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</si>
  <si>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</si>
  <si>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</si>
  <si>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</si>
  <si>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</si>
  <si>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</si>
  <si>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</si>
  <si>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</si>
  <si>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</si>
  <si>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</si>
  <si>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</si>
  <si>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</si>
  <si>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</si>
  <si>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</si>
  <si>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</si>
  <si>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</si>
  <si>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</si>
  <si>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</si>
  <si>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</si>
  <si>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</si>
  <si>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</si>
  <si>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</si>
  <si>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</si>
  <si>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</si>
  <si>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</si>
  <si>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</si>
  <si>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</si>
  <si>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</si>
  <si>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</si>
  <si>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</si>
  <si>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</si>
  <si>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</si>
  <si>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</si>
  <si>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</si>
  <si>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</si>
  <si>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</si>
  <si>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</si>
  <si>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</si>
  <si>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</si>
  <si>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</si>
  <si>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</si>
  <si>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</si>
  <si>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</si>
  <si>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</si>
  <si>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</si>
  <si>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</si>
  <si>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</si>
  <si>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</si>
  <si>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</si>
  <si>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</si>
  <si>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</si>
  <si>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</si>
  <si>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</si>
  <si>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</si>
  <si>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</si>
  <si>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</si>
  <si>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</si>
  <si>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</si>
  <si>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</si>
  <si>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</si>
  <si>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</si>
  <si>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</si>
  <si>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</si>
  <si>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</si>
  <si>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</si>
  <si>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</si>
  <si>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</si>
  <si>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</si>
  <si>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</si>
  <si>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</si>
  <si>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</si>
  <si>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</si>
  <si>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</si>
  <si>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</si>
  <si>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</si>
  <si>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</si>
  <si>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</si>
  <si>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</si>
  <si>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</si>
  <si>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</si>
  <si>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</si>
  <si>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</si>
  <si>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</si>
  <si>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</si>
  <si>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</si>
  <si>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</si>
  <si>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</si>
  <si>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</si>
  <si>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</si>
  <si>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</si>
  <si>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</si>
  <si>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</si>
  <si>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</si>
  <si>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</si>
  <si>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</si>
  <si>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</si>
  <si>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</si>
  <si>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</si>
  <si>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</si>
  <si>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</si>
  <si>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</si>
  <si>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</si>
  <si>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</si>
  <si>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</si>
  <si>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</si>
  <si>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</si>
  <si>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</si>
  <si>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</si>
  <si>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</si>
  <si>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</si>
  <si>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</si>
  <si>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</si>
  <si>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</si>
  <si>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</si>
  <si>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</si>
  <si>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</si>
  <si>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</si>
  <si>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</si>
  <si>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</si>
  <si>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</si>
  <si>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</si>
  <si>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</si>
  <si>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</si>
  <si>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</si>
  <si>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</si>
  <si>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</si>
  <si>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</si>
  <si>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</si>
  <si>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</si>
  <si>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</si>
  <si>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</si>
  <si>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</si>
  <si>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</si>
  <si>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</si>
  <si>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</si>
  <si>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</si>
  <si>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</si>
  <si>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</si>
  <si>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</si>
  <si>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</si>
  <si>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</si>
  <si>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</si>
  <si>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</si>
  <si>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</si>
  <si>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</si>
  <si>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</si>
  <si>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</si>
  <si>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</si>
  <si>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</si>
  <si>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</si>
  <si>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</si>
  <si>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</si>
  <si>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</si>
  <si>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</si>
  <si>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</si>
  <si>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</si>
  <si>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</si>
  <si>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</si>
  <si>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</si>
  <si>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</si>
  <si>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</si>
  <si>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</si>
  <si>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</si>
  <si>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</si>
  <si>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</si>
  <si>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</si>
  <si>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</si>
  <si>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</si>
  <si>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</si>
  <si>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</si>
  <si>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</si>
  <si>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</si>
  <si>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</si>
  <si>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</si>
  <si>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</si>
  <si>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</si>
  <si>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</si>
  <si>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</si>
  <si>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</si>
  <si>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</si>
  <si>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</si>
  <si>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</si>
  <si>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</si>
  <si>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</si>
  <si>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</si>
  <si>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</si>
  <si>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</si>
  <si>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</si>
  <si>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</si>
  <si>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</si>
  <si>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</si>
  <si>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</si>
  <si>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</si>
  <si>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</si>
  <si>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</si>
  <si>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</si>
  <si>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</si>
  <si>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</si>
  <si>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</si>
  <si>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</si>
  <si>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</si>
  <si>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</si>
  <si>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</si>
  <si>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</si>
  <si>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</si>
  <si>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</si>
  <si>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</si>
  <si>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</si>
  <si>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</si>
  <si>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</si>
  <si>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</si>
  <si>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</si>
  <si>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</si>
  <si>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</si>
  <si>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</si>
  <si>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</si>
  <si>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</si>
  <si>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</si>
  <si>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</si>
  <si>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</si>
  <si>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</si>
  <si>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</si>
  <si>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</si>
  <si>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</si>
  <si>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</si>
  <si>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</si>
  <si>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</si>
  <si>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</si>
  <si>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</si>
  <si>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</si>
  <si>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</si>
  <si>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</si>
  <si>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</si>
  <si>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</si>
  <si>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</si>
  <si>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</si>
  <si>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</si>
  <si>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</si>
  <si>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</si>
  <si>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</si>
  <si>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</si>
  <si>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</si>
  <si>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</si>
  <si>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</si>
  <si>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</si>
  <si>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</si>
  <si>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</si>
  <si>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</si>
  <si>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</si>
  <si>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</si>
  <si>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</si>
  <si>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</si>
  <si>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</si>
  <si>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</si>
  <si>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</si>
  <si>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</si>
  <si>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</si>
  <si>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</si>
  <si>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</si>
  <si>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</si>
  <si>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</si>
  <si>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</si>
  <si>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</si>
  <si>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</si>
  <si>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</si>
  <si>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</si>
  <si>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</si>
  <si>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</si>
  <si>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</si>
  <si>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</si>
  <si>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</si>
  <si>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</si>
  <si>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</si>
  <si>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</si>
  <si>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</si>
  <si>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</si>
  <si>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</si>
  <si>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</si>
  <si>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</si>
  <si>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</si>
  <si>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</si>
  <si>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</si>
  <si>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</si>
  <si>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</si>
  <si>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</si>
  <si>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</si>
  <si>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</si>
  <si>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</si>
  <si>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</si>
  <si>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</si>
  <si>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</si>
  <si>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</si>
  <si>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</si>
  <si>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</si>
  <si>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</si>
  <si>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</si>
  <si>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</si>
  <si>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</si>
  <si>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</si>
  <si>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</si>
  <si>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</si>
  <si>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</si>
  <si>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</si>
  <si>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</si>
  <si>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</si>
  <si>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</si>
  <si>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</si>
  <si>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</si>
  <si>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</si>
  <si>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</si>
  <si>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</si>
  <si>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</si>
  <si>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</si>
  <si>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</si>
  <si>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</si>
  <si>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</si>
  <si>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</si>
  <si>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</si>
  <si>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</si>
  <si>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</si>
  <si>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</si>
  <si>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</si>
  <si>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</si>
  <si>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</si>
  <si>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</si>
  <si>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</si>
  <si>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</si>
  <si>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</si>
  <si>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</si>
  <si>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</si>
  <si>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</si>
  <si>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</si>
  <si>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</si>
  <si>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</si>
  <si>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</si>
  <si>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</si>
  <si>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</si>
  <si>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</si>
  <si>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</si>
  <si>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</si>
  <si>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</si>
  <si>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</si>
  <si>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</si>
  <si>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</si>
  <si>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</si>
  <si>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</si>
  <si>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</si>
  <si>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</si>
  <si>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</si>
  <si>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</si>
  <si>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</si>
  <si>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</si>
  <si>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</si>
  <si>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</si>
  <si>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</si>
  <si>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</si>
  <si>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</si>
  <si>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</si>
  <si>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</si>
  <si>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</si>
  <si>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</si>
  <si>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</si>
  <si>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</si>
  <si>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</si>
  <si>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</si>
  <si>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</si>
  <si>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</si>
  <si>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</si>
  <si>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</si>
  <si>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</si>
  <si>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</si>
  <si>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</si>
  <si>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</si>
  <si>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</si>
  <si>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</si>
  <si>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</si>
  <si>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</si>
  <si>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</si>
  <si>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</si>
  <si>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</si>
  <si>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</si>
  <si>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</si>
  <si>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</si>
  <si>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</si>
  <si>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</si>
  <si>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</si>
  <si>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</si>
  <si>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</si>
  <si>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</si>
  <si>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</si>
  <si>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</si>
  <si>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</si>
  <si>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</si>
  <si>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</si>
  <si>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</si>
  <si>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</si>
  <si>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</si>
  <si>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</si>
  <si>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</si>
  <si>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</si>
  <si>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</si>
  <si>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</si>
  <si>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</si>
  <si>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</si>
  <si>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</si>
  <si>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</si>
  <si>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</si>
  <si>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</si>
  <si>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</si>
  <si>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</si>
  <si>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</si>
  <si>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</si>
  <si>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</si>
  <si>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</si>
  <si>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</si>
  <si>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</si>
  <si>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</si>
  <si>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</si>
  <si>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</si>
  <si>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</si>
  <si>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</si>
  <si>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</si>
  <si>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</si>
  <si>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</si>
  <si>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</si>
  <si>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</si>
  <si>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</si>
  <si>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</si>
  <si>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</si>
  <si>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</si>
  <si>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</si>
  <si>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</si>
  <si>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</si>
  <si>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</si>
  <si>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</si>
  <si>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</si>
  <si>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</si>
  <si>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</si>
  <si>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</si>
  <si>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</si>
  <si>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</si>
  <si>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</si>
  <si>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</si>
  <si>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</si>
  <si>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</si>
  <si>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</si>
  <si>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</si>
  <si>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</si>
  <si>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</si>
  <si>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</si>
  <si>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</si>
  <si>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</si>
  <si>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</si>
  <si>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</si>
  <si>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</si>
  <si>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</si>
  <si>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</si>
  <si>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</si>
  <si>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</si>
  <si>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</si>
  <si>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</si>
  <si>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</si>
  <si>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</si>
  <si>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</si>
  <si>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</si>
  <si>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</si>
  <si>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</si>
  <si>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</si>
  <si>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</si>
  <si>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</si>
  <si>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</si>
  <si>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</si>
  <si>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</si>
  <si>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</si>
  <si>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</si>
  <si>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</si>
  <si>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</si>
  <si>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</si>
  <si>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</si>
  <si>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</si>
  <si>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</si>
  <si>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</si>
  <si>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</si>
  <si>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</si>
  <si>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</si>
  <si>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</si>
  <si>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</si>
  <si>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</si>
  <si>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</si>
  <si>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</si>
  <si>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</si>
  <si>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</si>
  <si>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</si>
  <si>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</si>
  <si>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</si>
  <si>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</si>
  <si>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</si>
  <si>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</si>
  <si>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</si>
  <si>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</si>
  <si>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</si>
  <si>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</si>
  <si>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</si>
  <si>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</si>
  <si>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</si>
  <si>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</si>
  <si>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</si>
  <si>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</si>
  <si>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</si>
  <si>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</si>
  <si>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</si>
  <si>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</si>
  <si>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</si>
  <si>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</si>
  <si>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</si>
  <si>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</si>
  <si>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</si>
  <si>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</si>
  <si>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</si>
  <si>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</si>
  <si>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</si>
  <si>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</si>
  <si>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</si>
  <si>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</si>
  <si>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</si>
  <si>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</si>
  <si>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</si>
  <si>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</si>
  <si>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</si>
  <si>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</si>
  <si>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</si>
  <si>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</si>
  <si>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</si>
  <si>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</si>
  <si>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</si>
  <si>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</si>
  <si>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</si>
  <si>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</si>
  <si>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</si>
  <si>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</si>
  <si>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</si>
  <si>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</si>
  <si>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</si>
  <si>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</si>
  <si>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</si>
  <si>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</si>
  <si>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</si>
  <si>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</si>
  <si>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</si>
  <si>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</si>
  <si>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</si>
  <si>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</si>
  <si>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</si>
  <si>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</si>
  <si>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</si>
  <si>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</si>
  <si>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</si>
  <si>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</si>
  <si>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</si>
  <si>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</si>
  <si>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</si>
  <si>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</si>
  <si>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</si>
  <si>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</si>
  <si>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</si>
  <si>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</si>
  <si>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</si>
  <si>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</si>
  <si>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</si>
  <si>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</si>
  <si>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</si>
  <si>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</si>
  <si>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</si>
  <si>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</si>
  <si>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</si>
  <si>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</si>
  <si>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</si>
  <si>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</si>
  <si>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</si>
  <si>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</si>
  <si>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</si>
  <si>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</si>
  <si>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</si>
  <si>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</si>
  <si>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</si>
  <si>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</si>
  <si>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</si>
  <si>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</si>
  <si>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</si>
  <si>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</si>
  <si>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</si>
  <si>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</si>
  <si>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</si>
  <si>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</si>
  <si>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</si>
  <si>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</si>
  <si>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</si>
  <si>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</si>
  <si>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</si>
  <si>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</si>
  <si>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</si>
  <si>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</si>
  <si>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</si>
  <si>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</si>
  <si>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</si>
  <si>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</si>
  <si>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</si>
  <si>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</si>
  <si>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</si>
  <si>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</si>
  <si>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</si>
  <si>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</si>
  <si>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</si>
  <si>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</si>
  <si>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</si>
  <si>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</si>
  <si>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</si>
  <si>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</si>
  <si>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</si>
  <si>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</si>
  <si>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</si>
  <si>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</si>
  <si>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</si>
  <si>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</si>
  <si>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</si>
  <si>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</si>
  <si>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</si>
  <si>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</si>
  <si>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</si>
  <si>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</si>
  <si>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</si>
  <si>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</si>
  <si>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</si>
  <si>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</si>
  <si>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</si>
  <si>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</si>
  <si>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</si>
  <si>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</si>
  <si>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</si>
  <si>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</si>
  <si>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</si>
  <si>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</si>
  <si>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</si>
  <si>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</si>
  <si>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</si>
  <si>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</si>
  <si>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</si>
  <si>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</si>
  <si>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</si>
  <si>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</si>
  <si>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</si>
  <si>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</si>
  <si>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</si>
  <si>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</si>
  <si>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</si>
  <si>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</si>
  <si>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</si>
  <si>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</si>
  <si>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</si>
  <si>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</si>
  <si>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</si>
  <si>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</si>
  <si>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</si>
  <si>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</si>
  <si>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</si>
  <si>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</si>
  <si>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</si>
  <si>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</si>
  <si>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</si>
  <si>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</si>
  <si>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</si>
  <si>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</si>
  <si>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</si>
  <si>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</si>
  <si>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</si>
  <si>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</si>
  <si>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</si>
  <si>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</si>
  <si>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</si>
  <si>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</si>
  <si>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</si>
  <si>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</si>
  <si>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</si>
  <si>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</si>
  <si>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</si>
  <si>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</si>
  <si>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</si>
  <si>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</si>
  <si>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</si>
  <si>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</si>
  <si>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</si>
  <si>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</si>
  <si>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</si>
  <si>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</si>
  <si>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</si>
  <si>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</si>
  <si>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</si>
  <si>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</si>
  <si>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</si>
  <si>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</si>
  <si>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</si>
  <si>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</si>
  <si>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</si>
  <si>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</si>
  <si>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</si>
  <si>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</si>
  <si>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</si>
  <si>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</si>
  <si>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</si>
  <si>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</si>
  <si>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</si>
  <si>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</si>
  <si>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</si>
  <si>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</si>
  <si>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</si>
  <si>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</si>
  <si>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</si>
  <si>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</si>
  <si>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</si>
  <si>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</si>
  <si>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</si>
  <si>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</si>
  <si>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</si>
  <si>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</si>
  <si>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</si>
  <si>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</si>
  <si>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</si>
  <si>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</si>
  <si>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</si>
  <si>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</si>
  <si>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</si>
  <si>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</si>
  <si>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</si>
  <si>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</si>
  <si>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</si>
  <si>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</si>
  <si>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</si>
  <si>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</si>
  <si>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</si>
  <si>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</si>
  <si>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</si>
  <si>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</si>
  <si>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</si>
  <si>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</si>
  <si>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</si>
  <si>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</si>
  <si>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</si>
  <si>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</si>
  <si>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</si>
  <si>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</si>
  <si>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</si>
  <si>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</si>
  <si>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</si>
  <si>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</si>
  <si>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</si>
  <si>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</si>
  <si>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</si>
  <si>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</si>
  <si>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</si>
  <si>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</si>
  <si>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</si>
  <si>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</si>
  <si>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</si>
  <si>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</si>
  <si>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</si>
  <si>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</si>
  <si>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</si>
  <si>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</si>
  <si>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</si>
  <si>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</si>
  <si>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</si>
  <si>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</si>
  <si>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</si>
  <si>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</si>
  <si>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</si>
  <si>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</si>
  <si>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</si>
  <si>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</si>
  <si>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</si>
  <si>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</si>
  <si>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</si>
  <si>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</si>
  <si>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</si>
  <si>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</si>
  <si>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</si>
  <si>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</si>
  <si>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</si>
  <si>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</si>
  <si>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</si>
  <si>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</si>
  <si>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</si>
  <si>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</si>
  <si>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</si>
  <si>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</si>
  <si>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</si>
  <si>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</si>
  <si>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</si>
  <si>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</si>
  <si>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</si>
  <si>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</si>
  <si>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</si>
  <si>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</si>
  <si>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</si>
  <si>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</si>
  <si>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</si>
  <si>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</si>
  <si>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</si>
  <si>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</si>
  <si>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</si>
  <si>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</si>
  <si>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</si>
  <si>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</si>
  <si>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</si>
  <si>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</si>
  <si>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</si>
  <si>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</si>
  <si>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</si>
  <si>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</si>
  <si>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</si>
  <si>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</si>
  <si>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</si>
  <si>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</si>
  <si>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</si>
  <si>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</si>
  <si>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</si>
  <si>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</si>
  <si>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</si>
  <si>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</si>
  <si>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</si>
  <si>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</si>
  <si>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</si>
  <si>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</si>
  <si>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</si>
  <si>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</si>
  <si>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</si>
  <si>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</si>
  <si>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</si>
  <si>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</si>
  <si>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</si>
  <si>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</si>
  <si>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</si>
  <si>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</si>
  <si>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</si>
  <si>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</si>
  <si>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</si>
  <si>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</si>
  <si>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</si>
  <si>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</si>
  <si>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</si>
  <si>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</si>
  <si>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</si>
  <si>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</si>
  <si>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</si>
  <si>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</si>
  <si>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</si>
  <si>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</si>
  <si>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</si>
  <si>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</si>
  <si>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</si>
  <si>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</si>
  <si>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</si>
  <si>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</si>
  <si>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</si>
  <si>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</si>
  <si>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</si>
  <si>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</si>
  <si>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</si>
  <si>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</si>
  <si>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</si>
  <si>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</si>
  <si>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</si>
  <si>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</si>
  <si>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</si>
  <si>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</si>
  <si>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</si>
  <si>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</si>
  <si>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</si>
  <si>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</si>
  <si>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</si>
  <si>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</si>
  <si>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</si>
  <si>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</si>
  <si>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</si>
  <si>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</si>
  <si>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</si>
  <si>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</si>
  <si>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</si>
  <si>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</si>
  <si>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</si>
  <si>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</si>
  <si>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</si>
  <si>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</si>
  <si>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</si>
  <si>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</si>
  <si>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</si>
  <si>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</si>
  <si>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</si>
  <si>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</si>
  <si>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</si>
  <si>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</si>
  <si>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</si>
  <si>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</si>
  <si>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</si>
  <si>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</si>
  <si>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</si>
  <si>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</si>
  <si>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</si>
  <si>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</si>
  <si>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</si>
  <si>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</si>
  <si>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</si>
  <si>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</si>
  <si>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</si>
  <si>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</si>
  <si>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</si>
  <si>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</si>
  <si>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</si>
  <si>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</si>
  <si>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</si>
  <si>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</si>
  <si>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</si>
  <si>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</si>
  <si>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</si>
  <si>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</si>
  <si>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</si>
  <si>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</si>
  <si>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</si>
  <si>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</si>
  <si>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</si>
  <si>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</si>
  <si>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</si>
  <si>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</si>
  <si>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</si>
  <si>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</si>
  <si>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</si>
  <si>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</si>
  <si>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</si>
  <si>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</si>
  <si>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</si>
  <si>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</si>
  <si>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</si>
  <si>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</si>
  <si>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</si>
  <si>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</si>
  <si>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</si>
  <si>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</si>
  <si>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</si>
  <si>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</si>
  <si>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</si>
  <si>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</si>
  <si>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</si>
  <si>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</si>
  <si>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</si>
  <si>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</si>
  <si>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</si>
  <si>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</si>
  <si>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</si>
  <si>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</si>
  <si>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</si>
  <si>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</si>
  <si>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</si>
  <si>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</si>
  <si>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</si>
  <si>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</si>
  <si>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</si>
  <si>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</si>
  <si>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</si>
  <si>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</si>
  <si>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</si>
  <si>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</si>
  <si>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</si>
  <si>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</si>
  <si>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</si>
  <si>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</si>
  <si>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</si>
  <si>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</si>
  <si>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</si>
  <si>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</si>
  <si>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</si>
  <si>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</si>
  <si>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</si>
  <si>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</si>
  <si>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</si>
  <si>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</si>
  <si>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</si>
  <si>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</si>
  <si>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</si>
  <si>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</si>
  <si>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</si>
  <si>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</si>
  <si>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</si>
  <si>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</si>
  <si>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</si>
  <si>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</si>
  <si>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</si>
  <si>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</si>
  <si>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</si>
  <si>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</si>
  <si>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</si>
  <si>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</si>
  <si>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</si>
  <si>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</si>
  <si>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</si>
  <si>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</si>
  <si>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</si>
  <si>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</si>
  <si>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</si>
  <si>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</si>
  <si>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</si>
  <si>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</si>
  <si>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</si>
  <si>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</si>
  <si>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</si>
  <si>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</si>
  <si>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</si>
  <si>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</si>
  <si>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</si>
  <si>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</si>
  <si>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</si>
  <si>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</si>
  <si>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</si>
  <si>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</si>
  <si>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</si>
  <si>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</si>
  <si>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</si>
  <si>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</si>
  <si>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</si>
  <si>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</si>
  <si>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</si>
  <si>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</si>
  <si>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</si>
  <si>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</si>
  <si>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</si>
  <si>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</si>
  <si>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</si>
  <si>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</si>
  <si>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</si>
  <si>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</si>
  <si>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</si>
  <si>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</si>
  <si>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</si>
  <si>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</si>
  <si>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</si>
  <si>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</si>
  <si>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</si>
  <si>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</si>
  <si>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</si>
  <si>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</si>
  <si>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</si>
  <si>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</si>
  <si>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</si>
  <si>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</si>
  <si>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</si>
  <si>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</si>
  <si>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</si>
  <si>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</si>
  <si>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</si>
  <si>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</si>
  <si>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</si>
  <si>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</si>
  <si>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</si>
  <si>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</si>
  <si>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</si>
  <si>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</si>
  <si>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</si>
  <si>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</si>
  <si>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</si>
  <si>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</si>
  <si>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</si>
  <si>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</si>
  <si>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</si>
  <si>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</si>
  <si>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</si>
  <si>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</si>
  <si>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</si>
  <si>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</si>
  <si>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</si>
  <si>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</si>
  <si>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</si>
  <si>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</si>
  <si>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</si>
  <si>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</si>
  <si>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</si>
  <si>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</si>
  <si>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</si>
  <si>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</si>
  <si>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</si>
  <si>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</si>
  <si>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</si>
  <si>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</si>
  <si>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</si>
  <si>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</si>
  <si>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</si>
  <si>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</si>
  <si>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</si>
  <si>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</si>
  <si>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</si>
  <si>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</si>
  <si>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</si>
  <si>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</si>
  <si>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</si>
  <si>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</si>
  <si>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</si>
  <si>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</si>
  <si>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</si>
  <si>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</si>
  <si>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</si>
  <si>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</si>
  <si>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</si>
  <si>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</si>
  <si>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</si>
  <si>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</si>
  <si>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</si>
  <si>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</si>
  <si>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</si>
  <si>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</si>
  <si>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</si>
  <si>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</si>
  <si>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</si>
  <si>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</si>
  <si>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</si>
  <si>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</si>
  <si>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</si>
  <si>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</si>
  <si>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</si>
  <si>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</si>
  <si>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</si>
  <si>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</si>
  <si>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</si>
  <si>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</si>
  <si>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</si>
  <si>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</si>
  <si>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</si>
  <si>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</si>
  <si>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</si>
  <si>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</si>
  <si>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</si>
  <si>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</si>
  <si>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</si>
  <si>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</si>
  <si>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</si>
  <si>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</si>
  <si>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</si>
  <si>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</si>
  <si>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</si>
  <si>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</si>
  <si>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</si>
  <si>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</si>
  <si>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</si>
  <si>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</si>
  <si>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</si>
  <si>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</si>
  <si>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</si>
  <si>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</si>
  <si>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</si>
  <si>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</si>
  <si>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</si>
  <si>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</si>
  <si>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</si>
  <si>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</si>
  <si>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</si>
  <si>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</si>
  <si>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</si>
  <si>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</si>
  <si>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</si>
  <si>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</si>
  <si>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</si>
  <si>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</si>
  <si>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</si>
  <si>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</si>
  <si>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</si>
  <si>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</si>
  <si>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</si>
  <si>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</si>
  <si>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</si>
  <si>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</si>
  <si>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</si>
  <si>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</si>
  <si>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</si>
  <si>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</si>
  <si>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</si>
  <si>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</si>
  <si>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</si>
  <si>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</si>
  <si>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</si>
  <si>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</si>
  <si>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</si>
  <si>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</si>
  <si>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</si>
  <si>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</si>
  <si>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</si>
  <si>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</si>
  <si>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</si>
  <si>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</si>
  <si>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</si>
  <si>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</si>
  <si>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</si>
  <si>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</si>
  <si>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</si>
  <si>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</si>
  <si>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</si>
  <si>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</si>
  <si>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</si>
  <si>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</si>
  <si>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</si>
  <si>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</si>
  <si>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</si>
  <si>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</si>
  <si>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</si>
  <si>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</si>
  <si>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</si>
  <si>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</si>
  <si>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</si>
  <si>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</si>
  <si>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</si>
  <si>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</si>
  <si>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</si>
  <si>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</si>
  <si>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</si>
  <si>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</si>
  <si>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</si>
  <si>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</si>
  <si>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</si>
  <si>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</si>
  <si>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</si>
  <si>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</si>
  <si>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</si>
  <si>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</si>
  <si>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</si>
  <si>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</si>
  <si>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</si>
  <si>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</si>
  <si>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</si>
  <si>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</si>
  <si>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</si>
  <si>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</si>
  <si>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</si>
  <si>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</si>
  <si>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</si>
  <si>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</si>
  <si>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</si>
  <si>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</si>
  <si>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</si>
  <si>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</si>
  <si>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</si>
  <si>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</si>
  <si>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</si>
  <si>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</si>
  <si>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</si>
  <si>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</si>
  <si>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</si>
  <si>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</si>
  <si>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</si>
  <si>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</si>
  <si>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</si>
  <si>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</si>
  <si>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</si>
  <si>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</si>
  <si>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</si>
  <si>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</si>
  <si>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</si>
  <si>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</si>
  <si>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</si>
  <si>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</si>
  <si>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</si>
  <si>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</si>
  <si>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</si>
  <si>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</si>
  <si>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</si>
  <si>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</si>
  <si>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</si>
  <si>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</si>
  <si>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</si>
  <si>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</si>
  <si>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</si>
  <si>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</si>
  <si>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</si>
  <si>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</si>
  <si>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</si>
  <si>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</si>
  <si>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</si>
  <si>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</si>
  <si>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</si>
  <si>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</si>
  <si>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</si>
  <si>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</si>
  <si>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</si>
  <si>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</si>
  <si>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</si>
  <si>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</si>
  <si>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</si>
  <si>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</si>
  <si>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</si>
  <si>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</si>
  <si>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</si>
  <si>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</si>
  <si>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</si>
  <si>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</si>
  <si>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</si>
  <si>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</si>
  <si>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</si>
  <si>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</si>
  <si>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</si>
  <si>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</si>
  <si>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</si>
  <si>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</si>
  <si>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</si>
  <si>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</si>
  <si>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</si>
  <si>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</si>
  <si>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</si>
  <si>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</si>
  <si>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</si>
  <si>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</si>
  <si>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</si>
  <si>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</si>
  <si>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</si>
  <si>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</si>
  <si>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</si>
  <si>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</si>
  <si>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</si>
  <si>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</si>
  <si>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</si>
  <si>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</si>
  <si>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</si>
  <si>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</si>
  <si>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</si>
  <si>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</si>
  <si>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</si>
  <si>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</si>
  <si>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</si>
  <si>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</si>
  <si>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</si>
  <si>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</si>
  <si>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</si>
  <si>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</si>
  <si>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</si>
  <si>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</si>
  <si>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</si>
  <si>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</si>
  <si>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</si>
  <si>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</si>
  <si>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</si>
  <si>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</si>
  <si>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</si>
  <si>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</si>
  <si>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</si>
  <si>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</si>
  <si>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</si>
  <si>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</si>
  <si>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</si>
  <si>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</si>
  <si>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</si>
  <si>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</si>
  <si>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</si>
  <si>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</si>
  <si>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</si>
  <si>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</si>
  <si>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</si>
  <si>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</si>
  <si>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</si>
  <si>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</si>
  <si>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</si>
  <si>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</si>
  <si>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</si>
  <si>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</si>
  <si>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</si>
  <si>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</si>
  <si>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</si>
  <si>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</si>
  <si>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</si>
  <si>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</si>
  <si>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</si>
  <si>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</si>
  <si>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</si>
  <si>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</si>
  <si>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</si>
  <si>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</si>
  <si>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</si>
  <si>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</si>
  <si>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</si>
  <si>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</si>
  <si>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</si>
  <si>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</si>
  <si>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</si>
  <si>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</si>
  <si>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</si>
  <si>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</si>
  <si>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</si>
  <si>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</si>
  <si>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</si>
  <si>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</si>
  <si>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</si>
  <si>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</si>
  <si>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</si>
  <si>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</si>
  <si>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</si>
  <si>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</si>
  <si>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</si>
  <si>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</si>
  <si>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</si>
  <si>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</si>
  <si>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</si>
  <si>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</si>
  <si>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</si>
  <si>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</si>
  <si>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</si>
  <si>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</si>
  <si>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</si>
  <si>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</si>
  <si>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</si>
  <si>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</si>
  <si>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</si>
  <si>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</si>
  <si>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</si>
  <si>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</si>
  <si>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</si>
  <si>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</si>
  <si>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</si>
  <si>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</si>
  <si>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</si>
  <si>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</si>
  <si>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</si>
  <si>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</si>
  <si>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</si>
  <si>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</si>
  <si>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</si>
  <si>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</si>
  <si>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</si>
  <si>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</si>
  <si>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</si>
  <si>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</si>
  <si>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</si>
  <si>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</si>
  <si>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</si>
  <si>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</si>
  <si>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</si>
  <si>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</si>
  <si>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</si>
  <si>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</si>
  <si>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</si>
  <si>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</si>
  <si>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</si>
  <si>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</si>
  <si>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</si>
  <si>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</si>
  <si>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</si>
  <si>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</si>
  <si>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</si>
  <si>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</si>
  <si>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</si>
  <si>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</si>
  <si>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</si>
  <si>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</si>
  <si>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</si>
  <si>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</si>
  <si>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</si>
  <si>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</si>
  <si>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</si>
  <si>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</si>
  <si>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</si>
  <si>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</si>
  <si>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</si>
  <si>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</si>
  <si>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</si>
  <si>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</si>
  <si>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</si>
  <si>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</si>
  <si>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</si>
  <si>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</si>
  <si>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</si>
  <si>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</si>
  <si>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</si>
  <si>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</si>
  <si>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</si>
  <si>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</si>
  <si>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</si>
  <si>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</si>
  <si>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</si>
  <si>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</si>
  <si>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</si>
  <si>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</si>
  <si>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</si>
  <si>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</si>
  <si>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</si>
  <si>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</si>
  <si>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</si>
  <si>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</si>
  <si>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</si>
  <si>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</si>
  <si>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</si>
  <si>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</si>
  <si>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</si>
  <si>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</si>
  <si>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</si>
  <si>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</si>
  <si>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</si>
  <si>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</si>
  <si>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</si>
  <si>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</si>
  <si>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</si>
  <si>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</si>
  <si>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</si>
  <si>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</si>
  <si>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</si>
  <si>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</si>
  <si>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</si>
  <si>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</si>
  <si>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</si>
  <si>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</si>
  <si>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</si>
  <si>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</si>
  <si>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</si>
  <si>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</si>
  <si>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</si>
  <si>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</si>
  <si>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</si>
  <si>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</si>
  <si>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</si>
  <si>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</si>
  <si>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</si>
  <si>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</si>
  <si>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</si>
  <si>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</si>
  <si>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</si>
  <si>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</si>
  <si>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</si>
  <si>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</si>
  <si>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</si>
  <si>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</si>
  <si>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</si>
  <si>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</si>
  <si>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</si>
  <si>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</si>
  <si>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</si>
  <si>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</si>
  <si>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</si>
  <si>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</si>
  <si>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</si>
  <si>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</si>
  <si>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</si>
  <si>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</si>
  <si>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</si>
  <si>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</si>
  <si>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</si>
  <si>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</si>
  <si>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</si>
  <si>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</si>
  <si>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</si>
  <si>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</si>
  <si>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</si>
  <si>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</si>
  <si>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</si>
  <si>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</si>
  <si>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</si>
  <si>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</si>
  <si>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</si>
  <si>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</si>
  <si>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</si>
  <si>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</si>
  <si>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</si>
  <si>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</si>
  <si>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</si>
  <si>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</si>
  <si>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</si>
  <si>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</si>
  <si>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</si>
  <si>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</si>
  <si>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</si>
  <si>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</si>
  <si>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</si>
  <si>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</si>
  <si>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</si>
  <si>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</si>
  <si>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</si>
  <si>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</si>
  <si>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</si>
  <si>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</si>
  <si>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</si>
  <si>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</si>
  <si>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</si>
  <si>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</si>
  <si>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</si>
  <si>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</si>
  <si>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</si>
  <si>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</si>
  <si>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</si>
  <si>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</si>
  <si>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</si>
  <si>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</si>
  <si>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</si>
  <si>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</si>
  <si>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</si>
  <si>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</si>
  <si>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</si>
  <si>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</si>
  <si>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</si>
  <si>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</si>
  <si>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</si>
  <si>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</si>
  <si>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</si>
  <si>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</si>
  <si>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</si>
  <si>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</si>
  <si>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</si>
  <si>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</si>
  <si>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</si>
  <si>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</si>
  <si>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</si>
  <si>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</si>
  <si>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</si>
  <si>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</si>
  <si>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</si>
  <si>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</si>
  <si>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</si>
  <si>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</si>
  <si>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</si>
  <si>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</si>
  <si>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</si>
  <si>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</si>
  <si>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</si>
  <si>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</si>
  <si>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</si>
  <si>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</si>
  <si>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</si>
  <si>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</si>
  <si>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</si>
  <si>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</si>
  <si>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</si>
  <si>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</si>
  <si>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</si>
  <si>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</si>
  <si>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</si>
  <si>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</si>
  <si>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</si>
  <si>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</si>
  <si>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</si>
  <si>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</si>
  <si>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</si>
  <si>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</si>
  <si>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</si>
  <si>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</si>
  <si>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</si>
  <si>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</si>
  <si>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</si>
  <si>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</si>
  <si>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</si>
  <si>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</si>
  <si>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</si>
  <si>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</si>
  <si>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</si>
  <si>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</si>
  <si>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</si>
  <si>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</si>
  <si>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</si>
  <si>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</si>
  <si>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</si>
  <si>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</si>
  <si>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</si>
  <si>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</si>
  <si>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</si>
  <si>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</si>
  <si>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</si>
  <si>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</si>
  <si>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</si>
  <si>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</si>
  <si>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</si>
  <si>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</si>
  <si>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</si>
  <si>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</si>
  <si>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</si>
  <si>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</si>
  <si>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</si>
  <si>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</si>
  <si>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</si>
  <si>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</si>
  <si>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</si>
  <si>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</si>
  <si>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</si>
  <si>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</si>
  <si>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</si>
  <si>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</si>
  <si>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</si>
  <si>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</si>
  <si>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</si>
  <si>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</si>
  <si>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</si>
  <si>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</si>
  <si>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</si>
  <si>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</si>
  <si>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</si>
  <si>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</si>
  <si>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</si>
  <si>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</si>
  <si>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</si>
  <si>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</si>
  <si>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</si>
  <si>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</si>
  <si>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</si>
  <si>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</si>
  <si>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</si>
  <si>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</si>
  <si>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</si>
  <si>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</si>
  <si>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</si>
  <si>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</si>
  <si>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</si>
  <si>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</si>
  <si>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</si>
  <si>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</si>
  <si>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</si>
  <si>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</si>
  <si>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</si>
  <si>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</si>
  <si>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</si>
  <si>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</si>
  <si>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</si>
  <si>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</si>
  <si>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</si>
  <si>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</si>
  <si>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</si>
  <si>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</si>
  <si>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</si>
  <si>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</si>
  <si>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</si>
  <si>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</si>
  <si>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</si>
  <si>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</si>
  <si>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</si>
  <si>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</si>
  <si>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</si>
  <si>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</si>
  <si>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</si>
  <si>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</si>
  <si>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</si>
  <si>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</si>
  <si>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</si>
  <si>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</si>
  <si>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</si>
  <si>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</si>
  <si>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</si>
  <si>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</si>
  <si>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</si>
  <si>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</si>
  <si>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</si>
  <si>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</si>
  <si>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</si>
  <si>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</si>
  <si>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</si>
  <si>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</si>
  <si>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</si>
  <si>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</si>
  <si>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</si>
  <si>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</si>
  <si>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</si>
  <si>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</si>
  <si>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</si>
  <si>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</si>
  <si>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</si>
  <si>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</si>
  <si>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</si>
  <si>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</si>
  <si>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</si>
  <si>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</si>
  <si>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</si>
  <si>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</si>
  <si>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</si>
  <si>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</si>
  <si>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</si>
  <si>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</si>
  <si>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</si>
  <si>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</si>
  <si>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</si>
  <si>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</si>
  <si>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</si>
  <si>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</si>
  <si>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</si>
  <si>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</si>
  <si>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</si>
  <si>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</si>
  <si>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</si>
  <si>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</si>
  <si>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</si>
  <si>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</si>
  <si>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</si>
  <si>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</si>
  <si>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</si>
  <si>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</si>
  <si>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</si>
  <si>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</si>
  <si>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</si>
  <si>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</si>
  <si>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</si>
  <si>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</si>
  <si>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</si>
  <si>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</si>
  <si>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</si>
  <si>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</si>
  <si>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</si>
  <si>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</si>
  <si>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</si>
  <si>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</si>
  <si>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</si>
  <si>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</si>
  <si>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</si>
  <si>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</si>
  <si>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</si>
  <si>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</si>
  <si>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</si>
  <si>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</si>
  <si>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</si>
  <si>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</si>
  <si>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</si>
  <si>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</si>
  <si>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</si>
  <si>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</si>
  <si>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</si>
  <si>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</si>
  <si>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</si>
  <si>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</si>
  <si>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</si>
  <si>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</si>
  <si>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</si>
  <si>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</si>
  <si>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</si>
  <si>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</si>
  <si>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</si>
  <si>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</si>
  <si>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</si>
  <si>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</si>
  <si>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</si>
  <si>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</si>
  <si>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</si>
  <si>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</si>
  <si>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</si>
  <si>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</si>
  <si>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</si>
  <si>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</si>
  <si>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</si>
  <si>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</si>
  <si>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</si>
  <si>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</si>
  <si>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</si>
  <si>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</si>
  <si>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</si>
  <si>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</si>
  <si>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</si>
  <si>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</si>
  <si>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</si>
  <si>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</si>
  <si>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</si>
  <si>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</si>
  <si>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</si>
  <si>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</si>
  <si>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</si>
  <si>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</si>
  <si>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</si>
  <si>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</si>
  <si>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</si>
  <si>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</si>
  <si>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</si>
  <si>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</si>
  <si>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</si>
  <si>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</si>
  <si>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</si>
  <si>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</si>
  <si>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</si>
  <si>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</si>
  <si>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</si>
  <si>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</si>
  <si>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</si>
  <si>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</si>
  <si>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</si>
  <si>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</si>
  <si>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</si>
  <si>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</si>
  <si>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</si>
  <si>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</si>
  <si>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</si>
  <si>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</si>
  <si>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</si>
  <si>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</si>
  <si>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</si>
  <si>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</si>
  <si>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</si>
  <si>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</si>
  <si>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</si>
  <si>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</si>
  <si>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</si>
  <si>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</si>
  <si>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</si>
  <si>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</si>
  <si>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</si>
  <si>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</si>
  <si>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</si>
  <si>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</si>
  <si>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</si>
  <si>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</si>
  <si>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</si>
  <si>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</si>
  <si>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</si>
  <si>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</si>
  <si>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</si>
  <si>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</si>
  <si>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</si>
  <si>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</si>
  <si>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</si>
  <si>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</si>
  <si>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</si>
  <si>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</si>
  <si>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</si>
  <si>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</si>
  <si>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</si>
  <si>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</si>
  <si>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</si>
  <si>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</si>
  <si>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</si>
  <si>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</si>
  <si>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</si>
  <si>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</si>
  <si>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</si>
  <si>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</si>
  <si>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</si>
  <si>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</si>
  <si>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</si>
  <si>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</si>
  <si>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</si>
  <si>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</si>
  <si>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</si>
  <si>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</si>
  <si>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</si>
  <si>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</si>
  <si>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</si>
  <si>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</si>
  <si>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</si>
  <si>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</si>
  <si>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</si>
  <si>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</si>
  <si>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</si>
  <si>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</si>
  <si>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</si>
  <si>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</si>
  <si>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</si>
  <si>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</si>
  <si>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</si>
  <si>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</si>
  <si>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</si>
  <si>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</si>
  <si>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</si>
  <si>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</si>
  <si>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</si>
  <si>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</si>
  <si>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</si>
  <si>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</si>
  <si>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</si>
  <si>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</si>
  <si>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</si>
  <si>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</si>
  <si>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</si>
  <si>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</si>
  <si>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</si>
  <si>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</si>
  <si>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</si>
  <si>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</si>
  <si>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</si>
  <si>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</si>
  <si>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</si>
  <si>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</si>
  <si>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</si>
  <si>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</si>
  <si>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</si>
  <si>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</si>
  <si>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</si>
  <si>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</si>
  <si>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</si>
  <si>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</si>
  <si>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</si>
  <si>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</si>
  <si>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</si>
  <si>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</si>
  <si>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</si>
  <si>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</si>
  <si>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</si>
  <si>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</si>
  <si>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</si>
  <si>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</si>
  <si>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</si>
  <si>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</si>
  <si>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</si>
  <si>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</si>
  <si>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</si>
  <si>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</si>
  <si>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</si>
  <si>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</si>
  <si>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</si>
  <si>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</si>
  <si>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</si>
  <si>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</si>
  <si>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</si>
  <si>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</si>
  <si>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</si>
  <si>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</si>
  <si>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</si>
  <si>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</si>
  <si>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</si>
  <si>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</si>
  <si>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</si>
  <si>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</si>
  <si>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</si>
  <si>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</si>
  <si>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</si>
  <si>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</si>
  <si>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</si>
  <si>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</si>
  <si>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</si>
  <si>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</si>
  <si>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</si>
  <si>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</si>
  <si>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</si>
  <si>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</si>
  <si>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</si>
  <si>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</si>
  <si>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</si>
  <si>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</si>
  <si>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</si>
  <si>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</si>
  <si>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</si>
  <si>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</si>
  <si>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</si>
  <si>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</si>
  <si>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</si>
  <si>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</si>
  <si>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</si>
  <si>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</si>
  <si>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</si>
  <si>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</si>
  <si>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</si>
  <si>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</si>
  <si>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</si>
  <si>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</si>
  <si>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</si>
  <si>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</si>
  <si>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</si>
  <si>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</si>
  <si>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</si>
  <si>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</si>
  <si>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</si>
  <si>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</si>
  <si>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</si>
  <si>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</si>
  <si>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</si>
  <si>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</si>
  <si>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</si>
  <si>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</si>
  <si>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</si>
  <si>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</si>
  <si>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</si>
  <si>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</si>
  <si>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</si>
  <si>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</si>
  <si>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</si>
  <si>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</si>
  <si>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</si>
  <si>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</si>
  <si>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</si>
  <si>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</si>
  <si>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</si>
  <si>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</si>
  <si>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</si>
  <si>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</si>
  <si>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</si>
  <si>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</si>
  <si>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</si>
  <si>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</si>
  <si>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</si>
  <si>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</si>
  <si>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</si>
  <si>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</si>
  <si>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</si>
  <si>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</si>
  <si>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</si>
  <si>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</si>
  <si>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</si>
  <si>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</si>
  <si>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</si>
  <si>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</si>
  <si>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</si>
  <si>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</si>
  <si>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</si>
  <si>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</si>
  <si>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</si>
  <si>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</si>
  <si>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</si>
  <si>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</si>
  <si>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</si>
  <si>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</si>
  <si>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</si>
  <si>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</si>
  <si>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</si>
  <si>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</si>
  <si>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</si>
  <si>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</si>
  <si>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</si>
  <si>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</si>
  <si>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</si>
  <si>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</si>
  <si>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</si>
  <si>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</si>
  <si>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</si>
  <si>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</si>
  <si>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</si>
  <si>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</si>
  <si>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</si>
  <si>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</si>
  <si>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</si>
  <si>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</si>
  <si>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</si>
  <si>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</si>
  <si>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</si>
  <si>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</si>
  <si>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</si>
  <si>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</si>
  <si>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</si>
  <si>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</si>
  <si>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</si>
  <si>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</si>
  <si>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</si>
  <si>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</si>
  <si>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</si>
  <si>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</si>
  <si>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</si>
  <si>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</si>
  <si>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</si>
  <si>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</si>
  <si>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</si>
  <si>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</si>
  <si>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</si>
  <si>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</si>
  <si>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</si>
  <si>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</si>
  <si>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</si>
  <si>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</si>
  <si>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</si>
  <si>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</si>
  <si>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</si>
  <si>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</si>
  <si>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</si>
  <si>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</si>
  <si>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</si>
  <si>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</si>
  <si>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</si>
  <si>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</si>
  <si>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</si>
  <si>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</si>
  <si>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</si>
  <si>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</si>
  <si>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</si>
  <si>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</si>
  <si>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</si>
  <si>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</si>
  <si>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</si>
  <si>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</si>
  <si>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</si>
  <si>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</si>
  <si>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</si>
  <si>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</si>
  <si>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</si>
  <si>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</si>
  <si>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</si>
  <si>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</si>
  <si>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</si>
  <si>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</si>
  <si>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</si>
  <si>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</si>
  <si>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</si>
  <si>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</si>
  <si>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</si>
  <si>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</si>
  <si>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</si>
  <si>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</si>
  <si>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</si>
  <si>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</si>
  <si>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</si>
  <si>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</si>
  <si>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</si>
  <si>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</si>
  <si>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</si>
  <si>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</si>
  <si>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</si>
  <si>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</si>
  <si>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</si>
  <si>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</si>
  <si>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</si>
  <si>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</si>
  <si>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</si>
  <si>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</si>
  <si>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</si>
  <si>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</si>
  <si>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</si>
  <si>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</si>
  <si>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</si>
  <si>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</si>
  <si>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</si>
  <si>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</si>
  <si>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</si>
  <si>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</si>
  <si>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</si>
  <si>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</si>
  <si>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</si>
  <si>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</si>
  <si>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</si>
  <si>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</si>
  <si>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</si>
  <si>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</si>
  <si>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</si>
  <si>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</si>
  <si>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</si>
  <si>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</si>
  <si>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</si>
  <si>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</si>
  <si>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</si>
  <si>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</si>
  <si>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</si>
  <si>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</si>
  <si>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</si>
  <si>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</si>
  <si>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</si>
  <si>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</si>
  <si>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</si>
  <si>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</si>
  <si>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</si>
  <si>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</si>
  <si>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</si>
  <si>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</si>
  <si>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</si>
  <si>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</si>
  <si>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</si>
  <si>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</si>
  <si>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</si>
  <si>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</si>
  <si>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</si>
  <si>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</si>
  <si>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</si>
  <si>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</si>
  <si>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</si>
  <si>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</si>
  <si>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</si>
  <si>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</si>
  <si>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</si>
  <si>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</si>
  <si>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</si>
  <si>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</si>
  <si>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</si>
  <si>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</si>
  <si>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</si>
  <si>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</si>
  <si>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</si>
  <si>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</si>
  <si>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</si>
  <si>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</si>
  <si>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</si>
  <si>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</si>
  <si>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</si>
  <si>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</si>
  <si>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</si>
  <si>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</si>
  <si>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</si>
  <si>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</si>
  <si>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</si>
  <si>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</si>
  <si>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</si>
  <si>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</si>
  <si>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</si>
  <si>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</si>
  <si>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</si>
  <si>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</si>
  <si>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</si>
  <si>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</si>
  <si>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</si>
  <si>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</si>
  <si>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</si>
  <si>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</si>
  <si>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</si>
  <si>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</si>
  <si>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</si>
  <si>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</si>
  <si>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</si>
  <si>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</si>
  <si>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</si>
  <si>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</si>
  <si>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</si>
  <si>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</si>
  <si>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</si>
  <si>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</si>
  <si>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</si>
  <si>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</si>
  <si>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</si>
  <si>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</si>
  <si>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</si>
  <si>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</si>
  <si>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</si>
  <si>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</si>
  <si>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</si>
  <si>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</si>
  <si>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</si>
  <si>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</si>
  <si>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</si>
  <si>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</si>
  <si>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</si>
  <si>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</si>
  <si>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</si>
  <si>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</si>
  <si>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</si>
  <si>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</si>
  <si>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</si>
  <si>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</si>
  <si>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</si>
  <si>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</si>
  <si>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</si>
  <si>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</si>
  <si>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</si>
  <si>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</si>
  <si>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</si>
  <si>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</si>
  <si>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</si>
  <si>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</si>
  <si>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</si>
  <si>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</si>
  <si>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</si>
  <si>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</si>
  <si>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</si>
  <si>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</si>
  <si>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</si>
  <si>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</si>
  <si>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</si>
  <si>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</si>
  <si>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</si>
  <si>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</si>
  <si>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</si>
  <si>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</si>
  <si>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</si>
  <si>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</si>
  <si>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</si>
  <si>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</si>
  <si>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</si>
  <si>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</si>
  <si>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</si>
  <si>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</si>
  <si>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</si>
  <si>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</si>
  <si>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</si>
  <si>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</si>
  <si>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</si>
  <si>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</si>
  <si>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</si>
  <si>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</si>
  <si>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</si>
  <si>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</si>
  <si>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</si>
  <si>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</si>
  <si>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</si>
  <si>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</si>
  <si>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</si>
  <si>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</si>
  <si>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</si>
  <si>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</si>
  <si>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</si>
  <si>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</si>
  <si>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</si>
  <si>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</si>
  <si>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</si>
  <si>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</si>
  <si>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</si>
  <si>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</si>
  <si>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</si>
  <si>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</si>
  <si>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</si>
  <si>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</si>
  <si>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</si>
  <si>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</si>
  <si>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</si>
  <si>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</si>
  <si>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</si>
  <si>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</si>
  <si>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</si>
  <si>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</si>
  <si>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</si>
  <si>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</si>
  <si>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</si>
  <si>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</si>
  <si>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</si>
  <si>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</si>
  <si>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</si>
  <si>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</si>
  <si>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</si>
  <si>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</si>
  <si>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</si>
  <si>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</si>
  <si>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</si>
  <si>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</si>
  <si>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</si>
  <si>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</si>
  <si>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</si>
  <si>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</si>
  <si>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</si>
  <si>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</si>
  <si>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</si>
  <si>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</si>
  <si>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</si>
  <si>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</si>
  <si>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</si>
  <si>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</si>
  <si>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</si>
  <si>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</si>
  <si>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</si>
  <si>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</si>
  <si>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</si>
  <si>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</si>
  <si>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</si>
  <si>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</si>
  <si>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</si>
  <si>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</si>
  <si>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</si>
  <si>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</si>
  <si>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</si>
  <si>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</si>
  <si>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</si>
  <si>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</si>
  <si>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</si>
  <si>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</si>
  <si>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</si>
  <si>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</si>
  <si>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</si>
  <si>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</si>
  <si>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</si>
  <si>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</si>
  <si>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</si>
  <si>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</si>
  <si>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</si>
  <si>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</si>
  <si>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</si>
  <si>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</si>
  <si>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</si>
  <si>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</si>
  <si>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</si>
  <si>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</si>
  <si>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</si>
  <si>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</si>
  <si>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</si>
  <si>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</si>
  <si>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</si>
  <si>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</si>
  <si>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</si>
  <si>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</si>
  <si>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</si>
  <si>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</si>
  <si>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</si>
  <si>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</si>
  <si>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</si>
  <si>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</si>
  <si>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</si>
  <si>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</si>
  <si>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</si>
  <si>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</si>
  <si>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</si>
  <si>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</si>
  <si>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</si>
  <si>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</si>
  <si>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</si>
  <si>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</si>
  <si>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</si>
  <si>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</si>
  <si>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</si>
  <si>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</si>
  <si>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</si>
  <si>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</si>
  <si>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</si>
  <si>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</si>
  <si>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</si>
  <si>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</si>
  <si>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</si>
  <si>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</si>
  <si>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</si>
  <si>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</si>
  <si>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</si>
  <si>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</si>
  <si>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</si>
  <si>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</si>
  <si>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</si>
  <si>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</si>
  <si>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</si>
  <si>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</si>
  <si>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</si>
  <si>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</si>
  <si>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</si>
  <si>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</si>
  <si>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</si>
  <si>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</si>
  <si>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</si>
  <si>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</si>
  <si>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</si>
  <si>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</si>
  <si>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</si>
  <si>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</si>
  <si>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</si>
  <si>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</si>
  <si>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</si>
  <si>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</si>
  <si>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</si>
  <si>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</si>
  <si>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</si>
  <si>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</si>
  <si>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</si>
  <si>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</si>
  <si>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</si>
  <si>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</si>
  <si>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</si>
  <si>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</si>
  <si>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</si>
  <si>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</si>
  <si>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</si>
  <si>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</si>
  <si>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</si>
  <si>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</si>
  <si>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</si>
  <si>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</si>
  <si>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</si>
  <si>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</si>
  <si>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</si>
  <si>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</si>
  <si>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</si>
  <si>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</si>
  <si>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</si>
  <si>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</si>
  <si>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</si>
  <si>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</si>
  <si>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</si>
  <si>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</si>
  <si>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</si>
  <si>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</si>
  <si>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</si>
  <si>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</si>
  <si>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</si>
  <si>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</si>
  <si>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</si>
  <si>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</si>
  <si>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</si>
  <si>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</si>
  <si>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</si>
  <si>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</si>
  <si>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</si>
  <si>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</si>
  <si>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</si>
  <si>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</si>
  <si>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</si>
  <si>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</si>
  <si>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</si>
  <si>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</si>
  <si>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</si>
  <si>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</si>
  <si>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</si>
  <si>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</si>
  <si>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</si>
  <si>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</si>
  <si>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</si>
  <si>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</si>
  <si>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</si>
  <si>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</si>
  <si>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</si>
  <si>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</si>
  <si>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</si>
  <si>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</si>
  <si>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</si>
  <si>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</si>
  <si>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</si>
  <si>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</si>
  <si>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</si>
  <si>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</si>
  <si>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</si>
  <si>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</si>
  <si>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</si>
  <si>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</si>
  <si>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</si>
  <si>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</si>
  <si>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</si>
  <si>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</si>
  <si>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</si>
  <si>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</si>
  <si>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</si>
  <si>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</si>
  <si>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</si>
  <si>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</si>
  <si>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</si>
  <si>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</si>
  <si>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</si>
  <si>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</si>
  <si>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</si>
  <si>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</si>
  <si>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</si>
  <si>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</si>
  <si>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</si>
  <si>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</si>
  <si>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</si>
  <si>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</si>
  <si>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</si>
  <si>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</si>
  <si>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</si>
  <si>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</si>
  <si>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</si>
  <si>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</si>
  <si>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</si>
  <si>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</si>
  <si>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</si>
  <si>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</si>
  <si>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</si>
  <si>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</si>
  <si>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</si>
  <si>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</si>
  <si>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</si>
  <si>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</si>
  <si>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</si>
  <si>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</si>
  <si>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</si>
  <si>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</si>
  <si>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</si>
  <si>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</si>
  <si>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</si>
  <si>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</si>
  <si>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</si>
  <si>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</si>
  <si>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</si>
  <si>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</si>
  <si>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</si>
  <si>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</si>
  <si>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</si>
  <si>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</si>
  <si>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</si>
  <si>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</si>
  <si>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</si>
  <si>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</si>
  <si>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</si>
  <si>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</si>
  <si>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</si>
  <si>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</si>
  <si>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</si>
  <si>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</si>
  <si>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</si>
  <si>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</si>
  <si>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</si>
  <si>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</si>
  <si>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</si>
  <si>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</si>
  <si>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</si>
  <si>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</si>
  <si>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</si>
  <si>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</si>
  <si>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</si>
  <si>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</si>
  <si>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</si>
  <si>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</si>
  <si>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</si>
  <si>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</si>
  <si>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</si>
  <si>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</si>
  <si>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</si>
  <si>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</si>
  <si>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</si>
  <si>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</si>
  <si>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</si>
  <si>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</si>
  <si>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</si>
  <si>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</si>
  <si>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</si>
  <si>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</si>
  <si>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</si>
  <si>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</si>
  <si>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</si>
  <si>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</si>
  <si>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</si>
  <si>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</si>
  <si>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</si>
  <si>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</si>
  <si>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</si>
  <si>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</si>
  <si>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</si>
  <si>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</si>
  <si>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</si>
  <si>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</si>
  <si>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</si>
  <si>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</si>
  <si>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</si>
  <si>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</si>
  <si>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</si>
  <si>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</si>
  <si>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</si>
  <si>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</si>
  <si>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</si>
  <si>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</si>
  <si>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</si>
  <si>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</si>
  <si>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</si>
  <si>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</si>
  <si>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</si>
  <si>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</si>
  <si>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</si>
  <si>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</si>
  <si>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</si>
  <si>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</si>
  <si>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</si>
  <si>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</si>
  <si>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</si>
  <si>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</si>
  <si>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</si>
  <si>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</si>
  <si>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</si>
  <si>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</si>
  <si>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</si>
  <si>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</si>
  <si>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</si>
  <si>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</si>
  <si>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</si>
  <si>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</si>
  <si>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</si>
  <si>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</si>
  <si>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</si>
  <si>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</si>
  <si>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</si>
  <si>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</si>
  <si>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</si>
  <si>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</si>
  <si>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</si>
  <si>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</si>
  <si>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</si>
  <si>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</si>
  <si>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</si>
  <si>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</si>
  <si>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</si>
  <si>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</si>
  <si>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</si>
  <si>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</si>
  <si>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</si>
  <si>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</si>
  <si>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</si>
  <si>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</si>
  <si>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</si>
  <si>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</si>
  <si>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</si>
  <si>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</si>
  <si>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</si>
  <si>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</si>
  <si>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</si>
  <si>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</si>
  <si>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</si>
  <si>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</si>
  <si>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</si>
  <si>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</si>
  <si>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</si>
  <si>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</si>
  <si>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</si>
  <si>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</si>
  <si>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</si>
  <si>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</si>
  <si>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</si>
  <si>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</si>
  <si>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</si>
  <si>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</si>
  <si>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</si>
  <si>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</si>
  <si>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</si>
  <si>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</si>
  <si>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</si>
  <si>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</si>
  <si>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</si>
  <si>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</si>
  <si>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</si>
  <si>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</si>
  <si>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</si>
  <si>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</si>
  <si>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</si>
  <si>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</si>
  <si>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</si>
  <si>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</si>
  <si>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</si>
  <si>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</si>
  <si>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</si>
  <si>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</si>
  <si>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</si>
  <si>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</si>
  <si>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</si>
  <si>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</si>
  <si>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</si>
  <si>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</si>
  <si>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</si>
  <si>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</si>
  <si>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</si>
  <si>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</si>
  <si>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</si>
  <si>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</si>
  <si>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</si>
  <si>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</si>
  <si>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</si>
  <si>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</si>
  <si>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</si>
  <si>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</si>
  <si>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</si>
  <si>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</si>
  <si>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</si>
  <si>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</si>
  <si>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</si>
  <si>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</si>
  <si>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</si>
  <si>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</si>
  <si>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</si>
  <si>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</si>
  <si>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</si>
  <si>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</si>
  <si>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</si>
  <si>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</si>
  <si>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</si>
  <si>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</si>
  <si>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</si>
  <si>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</si>
  <si>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</si>
  <si>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</si>
  <si>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</si>
  <si>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</si>
  <si>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</si>
  <si>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</si>
  <si>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</si>
  <si>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</si>
  <si>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</si>
  <si>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</si>
  <si>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</si>
  <si>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</si>
  <si>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</si>
  <si>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</si>
  <si>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</si>
  <si>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</si>
  <si>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</si>
  <si>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</si>
  <si>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</si>
  <si>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</si>
  <si>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</si>
  <si>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</si>
  <si>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</si>
  <si>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</si>
  <si>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</si>
  <si>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</si>
  <si>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</si>
  <si>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</si>
  <si>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</si>
  <si>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</si>
  <si>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</si>
  <si>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</si>
  <si>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</si>
  <si>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</si>
  <si>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</si>
  <si>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</si>
  <si>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</si>
  <si>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</si>
  <si>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</si>
  <si>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</si>
  <si>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</si>
  <si>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</si>
  <si>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</si>
  <si>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</si>
  <si>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</si>
  <si>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</si>
  <si>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</si>
  <si>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</si>
  <si>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</si>
  <si>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</si>
  <si>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</si>
  <si>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</si>
  <si>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</si>
  <si>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</si>
  <si>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</si>
  <si>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</si>
  <si>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</si>
  <si>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</si>
  <si>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</si>
  <si>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</si>
  <si>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</si>
  <si>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</si>
  <si>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</si>
  <si>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</si>
  <si>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</si>
  <si>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</si>
  <si>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</si>
  <si>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</si>
  <si>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</si>
  <si>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</si>
  <si>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</si>
  <si>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</si>
  <si>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</si>
  <si>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</si>
  <si>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</si>
  <si>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</si>
  <si>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</si>
  <si>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</si>
  <si>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</si>
  <si>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</si>
  <si>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</si>
  <si>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</si>
  <si>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</si>
  <si>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</si>
  <si>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</si>
  <si>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</si>
  <si>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</si>
  <si>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</si>
  <si>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</si>
  <si>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</si>
  <si>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</si>
  <si>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</si>
  <si>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</si>
  <si>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</si>
  <si>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</si>
  <si>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</si>
  <si>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</si>
  <si>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</si>
  <si>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</si>
  <si>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</si>
  <si>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</si>
  <si>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</si>
  <si>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</si>
  <si>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</si>
  <si>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</si>
  <si>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</si>
  <si>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</si>
  <si>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</si>
  <si>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</si>
  <si>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</si>
  <si>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</si>
  <si>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</si>
  <si>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</si>
  <si>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</si>
  <si>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</si>
  <si>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</si>
  <si>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</si>
  <si>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</si>
  <si>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</si>
  <si>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</si>
  <si>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</si>
  <si>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</si>
  <si>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</si>
  <si>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</si>
  <si>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</si>
  <si>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</si>
  <si>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</si>
  <si>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</si>
  <si>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</si>
  <si>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</si>
  <si>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</si>
  <si>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</si>
  <si>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</si>
  <si>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</si>
  <si>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</si>
  <si>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</si>
  <si>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</si>
  <si>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</si>
  <si>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</si>
  <si>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</si>
  <si>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</si>
  <si>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</si>
  <si>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</si>
  <si>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</si>
  <si>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</si>
  <si>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</si>
  <si>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</si>
  <si>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</si>
  <si>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</si>
  <si>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</si>
  <si>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</si>
  <si>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</si>
  <si>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</si>
  <si>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</si>
  <si>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</si>
  <si>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</si>
  <si>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</si>
  <si>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</si>
  <si>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</si>
  <si>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</si>
  <si>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</si>
  <si>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</si>
  <si>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</si>
  <si>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</si>
  <si>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</si>
  <si>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</si>
  <si>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</si>
  <si>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</si>
  <si>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</si>
  <si>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</si>
  <si>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</si>
  <si>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</si>
  <si>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</si>
  <si>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</si>
  <si>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</si>
  <si>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</si>
  <si>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</si>
  <si>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</si>
  <si>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</si>
  <si>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</si>
  <si>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</si>
  <si>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</si>
  <si>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</si>
  <si>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</si>
  <si>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</si>
  <si>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</si>
  <si>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</si>
  <si>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</si>
  <si>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</si>
  <si>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</si>
  <si>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</si>
  <si>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</si>
  <si>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</si>
  <si>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</si>
  <si>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</si>
  <si>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</si>
  <si>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</si>
  <si>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</si>
  <si>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</si>
  <si>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</si>
  <si>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</si>
  <si>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</si>
  <si>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</si>
  <si>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</si>
  <si>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</si>
  <si>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</si>
  <si>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</si>
  <si>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</si>
  <si>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</si>
  <si>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</si>
  <si>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</si>
  <si>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</si>
  <si>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</si>
  <si>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</si>
  <si>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</si>
  <si>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</si>
  <si>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</si>
  <si>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</si>
  <si>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</si>
  <si>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</si>
  <si>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</si>
  <si>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</si>
  <si>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</si>
  <si>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</si>
  <si>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</si>
  <si>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</si>
  <si>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</si>
  <si>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</si>
  <si>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</si>
  <si>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</si>
  <si>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</si>
  <si>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</si>
  <si>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</si>
  <si>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</si>
  <si>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</si>
  <si>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</si>
  <si>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</si>
  <si>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</si>
  <si>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</si>
  <si>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</si>
  <si>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</si>
  <si>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</si>
  <si>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</si>
  <si>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</si>
  <si>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</si>
  <si>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</si>
  <si>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</si>
  <si>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</si>
  <si>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</si>
  <si>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</si>
  <si>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</si>
  <si>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</si>
  <si>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</si>
  <si>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</si>
  <si>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</si>
  <si>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</si>
  <si>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</si>
  <si>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</si>
  <si>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</si>
  <si>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</si>
  <si>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</si>
  <si>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</si>
  <si>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</si>
  <si>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</si>
  <si>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</si>
  <si>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</si>
  <si>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</si>
  <si>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</si>
  <si>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</si>
  <si>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</si>
  <si>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</si>
  <si>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</si>
  <si>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</si>
  <si>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</si>
  <si>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</si>
  <si>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</si>
  <si>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</si>
  <si>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</si>
  <si>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</si>
  <si>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</si>
  <si>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</si>
  <si>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</si>
  <si>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</si>
  <si>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</si>
  <si>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</si>
  <si>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</si>
  <si>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</si>
  <si>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</si>
  <si>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</si>
  <si>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</si>
  <si>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</si>
  <si>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</si>
  <si>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</si>
  <si>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</si>
  <si>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</si>
  <si>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</si>
  <si>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</si>
  <si>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</si>
  <si>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</si>
  <si>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</si>
  <si>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</si>
  <si>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</si>
  <si>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</si>
  <si>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</si>
  <si>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</si>
  <si>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</si>
  <si>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</si>
  <si>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</si>
  <si>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</si>
  <si>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</si>
  <si>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</si>
  <si>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</si>
  <si>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</si>
  <si>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</si>
  <si>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</si>
  <si>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</si>
  <si>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</si>
  <si>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</si>
  <si>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</si>
  <si>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</si>
  <si>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</si>
  <si>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</si>
  <si>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</si>
  <si>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</si>
  <si>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</si>
  <si>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</si>
  <si>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</si>
  <si>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</si>
  <si>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</si>
  <si>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</si>
  <si>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</si>
  <si>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</si>
  <si>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</si>
  <si>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</si>
  <si>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</si>
  <si>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</si>
  <si>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</si>
  <si>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</si>
  <si>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</si>
  <si>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</si>
  <si>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</si>
  <si>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</si>
  <si>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</si>
  <si>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</si>
  <si>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</si>
  <si>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</si>
  <si>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</si>
  <si>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</si>
  <si>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</si>
  <si>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</si>
  <si>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</si>
  <si>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</si>
  <si>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</si>
  <si>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</si>
  <si>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</si>
  <si>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</si>
  <si>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</si>
  <si>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</si>
  <si>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</si>
  <si>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</si>
  <si>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</si>
  <si>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</si>
  <si>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</si>
  <si>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</si>
  <si>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</si>
  <si>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</si>
  <si>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</si>
  <si>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</si>
  <si>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</si>
  <si>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</si>
  <si>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</si>
  <si>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</si>
  <si>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</si>
  <si>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</si>
  <si>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</si>
  <si>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</si>
  <si>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</si>
  <si>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</si>
  <si>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</si>
  <si>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</si>
  <si>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</si>
  <si>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</si>
  <si>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</si>
  <si>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</si>
  <si>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</si>
  <si>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</si>
  <si>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</si>
  <si>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</si>
  <si>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</si>
  <si>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</si>
  <si>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</si>
  <si>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</si>
  <si>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</si>
  <si>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</si>
  <si>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</si>
  <si>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</si>
  <si>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</si>
  <si>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</si>
  <si>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</si>
  <si>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</si>
  <si>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</si>
  <si>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</si>
  <si>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</si>
  <si>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</si>
  <si>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</si>
  <si>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</si>
  <si>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</si>
  <si>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</si>
  <si>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</si>
  <si>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</si>
  <si>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</si>
  <si>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</si>
  <si>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</si>
  <si>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</si>
  <si>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</si>
  <si>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</si>
  <si>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</si>
  <si>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</si>
  <si>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</si>
  <si>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</si>
  <si>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</si>
  <si>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</si>
  <si>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</si>
  <si>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</si>
  <si>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</si>
  <si>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</si>
  <si>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</si>
  <si>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</si>
  <si>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</si>
  <si>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</si>
  <si>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</si>
  <si>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</si>
  <si>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</si>
  <si>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</si>
  <si>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</si>
  <si>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</si>
  <si>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</si>
  <si>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</si>
  <si>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</si>
  <si>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</si>
  <si>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</si>
  <si>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</si>
  <si>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</si>
  <si>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</si>
  <si>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</si>
  <si>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</si>
  <si>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</si>
  <si>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</si>
  <si>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</si>
  <si>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</si>
  <si>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</si>
  <si>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</si>
  <si>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</si>
  <si>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</si>
  <si>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</si>
  <si>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</si>
  <si>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</si>
  <si>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</si>
  <si>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</si>
  <si>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</si>
  <si>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</si>
  <si>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</si>
  <si>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</si>
  <si>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</si>
  <si>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</si>
  <si>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</si>
  <si>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</si>
  <si>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</si>
  <si>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</si>
  <si>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</si>
  <si>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</si>
  <si>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</si>
  <si>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</si>
  <si>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</si>
  <si>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</si>
  <si>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</si>
  <si>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</si>
  <si>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</si>
  <si>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</si>
  <si>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</si>
  <si>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</si>
  <si>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</si>
  <si>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</si>
  <si>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</si>
  <si>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</si>
  <si>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</si>
  <si>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</si>
  <si>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</si>
  <si>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</si>
  <si>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</si>
  <si>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</si>
  <si>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</si>
  <si>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</si>
  <si>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</si>
  <si>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</si>
  <si>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</si>
  <si>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</si>
  <si>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</si>
  <si>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</si>
  <si>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</si>
  <si>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</si>
  <si>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</si>
  <si>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</si>
  <si>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</si>
  <si>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</si>
  <si>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</si>
  <si>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</si>
  <si>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</si>
  <si>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</si>
  <si>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</si>
  <si>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</si>
  <si>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</si>
  <si>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</si>
  <si>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</si>
  <si>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</si>
  <si>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</si>
  <si>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</si>
  <si>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</si>
  <si>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</si>
  <si>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</si>
  <si>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</si>
  <si>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</si>
  <si>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</si>
  <si>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</si>
  <si>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</si>
  <si>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</si>
  <si>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</si>
  <si>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</si>
  <si>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</si>
  <si>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</si>
  <si>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</si>
  <si>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</si>
  <si>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</si>
  <si>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</si>
  <si>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</si>
  <si>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</si>
  <si>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</si>
  <si>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</si>
  <si>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</si>
  <si>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</si>
  <si>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</si>
  <si>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</si>
  <si>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</si>
  <si>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</si>
  <si>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</si>
  <si>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</si>
  <si>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</si>
  <si>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</si>
  <si>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</si>
  <si>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</si>
  <si>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</si>
  <si>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</si>
  <si>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</si>
  <si>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</si>
  <si>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</si>
  <si>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</si>
  <si>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</si>
  <si>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</si>
  <si>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</si>
  <si>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</si>
  <si>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</si>
  <si>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</si>
  <si>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</si>
  <si>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</si>
  <si>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</si>
  <si>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</si>
  <si>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</si>
  <si>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</si>
  <si>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</si>
  <si>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</si>
  <si>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</si>
  <si>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</si>
  <si>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</si>
  <si>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</si>
  <si>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</si>
  <si>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</si>
  <si>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</si>
  <si>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</si>
  <si>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</si>
  <si>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</si>
  <si>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</si>
  <si>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</si>
  <si>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</si>
  <si>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</si>
  <si>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</si>
  <si>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</si>
  <si>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</si>
  <si>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</si>
  <si>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</si>
  <si>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</si>
  <si>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</si>
  <si>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</si>
  <si>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</si>
  <si>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</si>
  <si>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</si>
  <si>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</si>
  <si>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</si>
  <si>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</si>
  <si>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</si>
  <si>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</si>
  <si>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</si>
  <si>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</si>
  <si>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</si>
  <si>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</si>
  <si>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</si>
  <si>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</si>
  <si>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</si>
  <si>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</si>
  <si>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</si>
  <si>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</si>
  <si>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</si>
  <si>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</si>
  <si>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</si>
  <si>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</si>
  <si>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</si>
  <si>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</si>
  <si>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</si>
  <si>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</si>
  <si>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</si>
  <si>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</si>
  <si>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</si>
  <si>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</si>
  <si>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</si>
  <si>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</si>
  <si>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</si>
  <si>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</si>
  <si>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</si>
  <si>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</si>
  <si>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</si>
  <si>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</si>
  <si>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</si>
  <si>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</si>
  <si>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</si>
  <si>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</si>
  <si>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</si>
  <si>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</si>
  <si>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</si>
  <si>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</si>
  <si>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</si>
  <si>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</si>
  <si>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</si>
  <si>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</si>
  <si>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</si>
  <si>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</si>
  <si>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</si>
  <si>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</si>
  <si>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</si>
  <si>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</si>
  <si>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</si>
  <si>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</si>
  <si>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</si>
  <si>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</si>
  <si>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</si>
  <si>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</si>
  <si>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</si>
  <si>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</si>
  <si>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</si>
  <si>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</si>
  <si>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</si>
  <si>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</si>
  <si>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</si>
  <si>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</si>
  <si>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</si>
  <si>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</si>
  <si>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</si>
  <si>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</si>
  <si>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</si>
  <si>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</si>
  <si>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</si>
  <si>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</si>
  <si>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</si>
  <si>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</si>
  <si>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</si>
  <si>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</si>
  <si>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</si>
  <si>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</si>
  <si>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</si>
  <si>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</si>
  <si>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</si>
  <si>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</si>
  <si>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</si>
  <si>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</si>
  <si>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</si>
  <si>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</si>
  <si>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</si>
  <si>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</si>
  <si>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</si>
  <si>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</si>
  <si>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</si>
  <si>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</si>
  <si>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</si>
  <si>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</si>
  <si>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</si>
  <si>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</si>
  <si>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</si>
  <si>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</si>
  <si>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</si>
  <si>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</si>
  <si>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</si>
  <si>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</si>
  <si>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</si>
  <si>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</si>
  <si>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</si>
  <si>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</si>
  <si>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</si>
  <si>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</si>
  <si>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</si>
  <si>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</si>
  <si>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</si>
  <si>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</si>
  <si>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</si>
  <si>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</si>
  <si>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</si>
  <si>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</si>
  <si>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</si>
  <si>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</si>
  <si>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</si>
  <si>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</si>
  <si>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</si>
  <si>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</si>
  <si>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</si>
  <si>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</si>
  <si>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</si>
  <si>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</si>
  <si>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</si>
  <si>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</si>
  <si>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</si>
  <si>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</si>
  <si>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</si>
  <si>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</si>
  <si>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</si>
  <si>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</si>
  <si>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</si>
  <si>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</si>
  <si>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</si>
  <si>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</si>
  <si>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</si>
  <si>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</si>
  <si>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</si>
  <si>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</si>
  <si>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</si>
  <si>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</si>
  <si>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</si>
  <si>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</si>
  <si>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</si>
  <si>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</si>
  <si>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</si>
  <si>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</si>
  <si>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</si>
  <si>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</si>
  <si>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</si>
  <si>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</si>
  <si>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</si>
  <si>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</si>
  <si>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</si>
  <si>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</si>
  <si>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</si>
  <si>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</si>
  <si>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</si>
  <si>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</si>
  <si>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</si>
  <si>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</si>
  <si>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</si>
  <si>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</si>
  <si>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</si>
  <si>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</si>
  <si>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</si>
  <si>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</si>
  <si>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</si>
  <si>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</si>
  <si>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</si>
  <si>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</si>
  <si>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</si>
  <si>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</si>
  <si>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</si>
  <si>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</si>
  <si>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</si>
  <si>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</si>
  <si>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</si>
  <si>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</si>
  <si>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</si>
  <si>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</si>
  <si>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</si>
  <si>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</si>
  <si>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</si>
  <si>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</si>
  <si>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</si>
  <si>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</si>
  <si>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</si>
  <si>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</si>
  <si>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</si>
  <si>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</si>
  <si>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</si>
  <si>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</si>
  <si>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</si>
  <si>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</si>
  <si>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</si>
  <si>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</si>
  <si>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</si>
  <si>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</si>
  <si>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</si>
  <si>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</si>
  <si>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</si>
  <si>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</si>
  <si>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</si>
  <si>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</si>
  <si>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</si>
  <si>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</si>
  <si>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</si>
  <si>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</si>
  <si>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</si>
  <si>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</si>
  <si>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</si>
  <si>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</si>
  <si>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</si>
  <si>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</si>
  <si>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</si>
  <si>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</si>
  <si>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</si>
  <si>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</si>
  <si>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</si>
  <si>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</si>
  <si>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</si>
  <si>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</si>
  <si>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</si>
  <si>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</si>
  <si>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</si>
  <si>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</si>
  <si>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</si>
  <si>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</si>
  <si>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</si>
  <si>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</si>
  <si>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</si>
  <si>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</si>
  <si>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</si>
  <si>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</si>
  <si>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</si>
  <si>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</si>
  <si>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</si>
  <si>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</si>
  <si>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</si>
  <si>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</si>
  <si>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</si>
  <si>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</si>
  <si>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</si>
  <si>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</si>
  <si>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</si>
  <si>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</si>
  <si>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</si>
  <si>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</si>
  <si>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</si>
  <si>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</si>
  <si>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</si>
  <si>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</si>
  <si>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</si>
  <si>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</si>
  <si>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</si>
  <si>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</si>
  <si>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</si>
  <si>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</si>
  <si>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</si>
  <si>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</si>
  <si>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</si>
  <si>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</si>
  <si>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</si>
  <si>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</si>
  <si>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</si>
  <si>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</si>
  <si>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</si>
  <si>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</si>
  <si>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</si>
  <si>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</si>
  <si>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</si>
  <si>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</si>
  <si>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</si>
  <si>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</si>
  <si>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</si>
  <si>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</si>
  <si>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</si>
  <si>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</si>
  <si>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</si>
  <si>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</si>
  <si>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</si>
  <si>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</si>
  <si>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</si>
  <si>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</si>
  <si>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</si>
  <si>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</si>
  <si>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</si>
  <si>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</si>
  <si>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</si>
  <si>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</si>
  <si>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</si>
  <si>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</si>
  <si>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</si>
  <si>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</si>
  <si>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</si>
  <si>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</si>
  <si>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</si>
  <si>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</si>
  <si>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</si>
  <si>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</si>
  <si>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</si>
  <si>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</si>
  <si>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</si>
  <si>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</si>
  <si>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</si>
  <si>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</si>
  <si>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</si>
  <si>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</si>
  <si>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</si>
  <si>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</si>
  <si>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</si>
  <si>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</si>
  <si>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</si>
  <si>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</si>
  <si>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</si>
  <si>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</si>
  <si>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</si>
  <si>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</si>
  <si>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</si>
  <si>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</si>
  <si>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</si>
  <si>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</si>
  <si>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</si>
  <si>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</si>
  <si>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</si>
  <si>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</si>
  <si>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</si>
  <si>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</si>
  <si>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</si>
  <si>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</si>
  <si>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</si>
  <si>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</si>
  <si>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</si>
  <si>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</si>
  <si>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</si>
  <si>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</si>
  <si>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</si>
  <si>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</si>
  <si>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</si>
  <si>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</si>
  <si>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</si>
  <si>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</si>
  <si>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</si>
  <si>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</si>
  <si>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</si>
  <si>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</si>
  <si>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</si>
  <si>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</si>
  <si>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</si>
  <si>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</si>
  <si>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</si>
  <si>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</si>
  <si>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</si>
  <si>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</si>
  <si>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</si>
  <si>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</si>
  <si>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</si>
  <si>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</si>
  <si>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</si>
  <si>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</si>
  <si>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</si>
  <si>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</si>
  <si>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</si>
  <si>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</si>
  <si>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</si>
  <si>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</si>
  <si>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</si>
  <si>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</si>
  <si>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</si>
  <si>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</si>
  <si>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</si>
  <si>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</si>
  <si>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</si>
  <si>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</si>
  <si>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</si>
  <si>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</si>
  <si>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</si>
  <si>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</si>
  <si>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</si>
  <si>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</si>
  <si>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</si>
  <si>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</si>
  <si>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</si>
  <si>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</si>
  <si>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</si>
  <si>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</si>
  <si>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</si>
  <si>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</si>
  <si>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</si>
  <si>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</si>
  <si>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</si>
  <si>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</si>
  <si>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</si>
  <si>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</si>
  <si>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</si>
  <si>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</si>
  <si>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</si>
  <si>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</si>
  <si>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</si>
  <si>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</si>
  <si>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</si>
  <si>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</si>
  <si>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</si>
  <si>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</si>
  <si>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</si>
  <si>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</si>
  <si>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</si>
  <si>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</si>
  <si>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</si>
  <si>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</si>
  <si>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</si>
  <si>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</si>
  <si>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</si>
  <si>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</si>
  <si>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</si>
  <si>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</si>
  <si>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</si>
  <si>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</si>
  <si>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</si>
  <si>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</si>
  <si>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</si>
  <si>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</si>
  <si>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</si>
  <si>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</si>
  <si>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</si>
  <si>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</si>
  <si>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</si>
  <si>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</si>
  <si>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</si>
  <si>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</si>
  <si>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</si>
  <si>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</si>
  <si>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</si>
  <si>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</si>
  <si>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</si>
  <si>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</si>
  <si>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</si>
  <si>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</si>
  <si>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</si>
  <si>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</si>
  <si>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</si>
  <si>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</si>
  <si>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</si>
  <si>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</si>
  <si>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</si>
  <si>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</si>
  <si>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</si>
  <si>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</si>
  <si>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</si>
  <si>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</si>
  <si>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</si>
  <si>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</si>
  <si>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</si>
  <si>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</si>
  <si>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</si>
  <si>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</si>
  <si>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</si>
  <si>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</si>
  <si>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</si>
  <si>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</si>
  <si>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</si>
  <si>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</si>
  <si>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</si>
  <si>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</si>
  <si>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</si>
  <si>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</si>
  <si>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</si>
  <si>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</si>
  <si>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</si>
  <si>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</si>
  <si>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</si>
  <si>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</si>
  <si>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</si>
  <si>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</si>
  <si>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</si>
  <si>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</si>
  <si>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</si>
  <si>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</si>
  <si>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</si>
  <si>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</si>
  <si>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</si>
  <si>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</si>
  <si>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</si>
  <si>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</si>
  <si>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</si>
  <si>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</si>
  <si>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</si>
  <si>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</si>
  <si>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</si>
  <si>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</si>
  <si>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</si>
  <si>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</si>
  <si>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</si>
  <si>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</si>
  <si>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</si>
  <si>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</si>
  <si>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</si>
  <si>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</si>
  <si>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</si>
  <si>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</si>
  <si>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</si>
  <si>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</si>
  <si>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</si>
  <si>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</si>
  <si>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</si>
  <si>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</si>
  <si>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</si>
  <si>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</si>
  <si>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</si>
  <si>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</si>
  <si>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</si>
  <si>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</si>
  <si>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</si>
  <si>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</si>
  <si>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</si>
  <si>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</si>
  <si>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</si>
  <si>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</si>
  <si>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</si>
  <si>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</si>
  <si>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</si>
  <si>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</si>
  <si>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</si>
  <si>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</si>
  <si>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</si>
  <si>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</si>
  <si>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</si>
  <si>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</si>
  <si>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</si>
  <si>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</si>
  <si>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</si>
  <si>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</si>
  <si>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</si>
  <si>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</si>
  <si>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</si>
  <si>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</si>
  <si>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</si>
  <si>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</si>
  <si>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</si>
  <si>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</si>
  <si>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</si>
  <si>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</si>
  <si>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</si>
  <si>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</si>
  <si>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</si>
  <si>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</si>
  <si>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</si>
  <si>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</si>
  <si>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</si>
  <si>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</si>
  <si>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</si>
  <si>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</si>
  <si>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</si>
  <si>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</si>
  <si>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</si>
  <si>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</si>
  <si>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</si>
  <si>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</si>
  <si>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</si>
  <si>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</si>
  <si>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</si>
  <si>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</si>
  <si>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</si>
  <si>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</si>
  <si>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</si>
  <si>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</si>
  <si>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</si>
  <si>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</si>
  <si>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</si>
  <si>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</si>
  <si>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</si>
  <si>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</si>
  <si>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</si>
  <si>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</si>
  <si>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</si>
  <si>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</si>
  <si>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</si>
  <si>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</si>
  <si>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</si>
  <si>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</si>
  <si>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</si>
  <si>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</si>
  <si>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</si>
  <si>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</si>
  <si>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</si>
  <si>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</si>
  <si>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</si>
  <si>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</si>
  <si>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</si>
  <si>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</si>
  <si>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</si>
  <si>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</si>
  <si>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</si>
  <si>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</si>
  <si>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</si>
  <si>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</si>
  <si>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</si>
  <si>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</si>
  <si>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</si>
  <si>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</si>
  <si>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</si>
  <si>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</si>
  <si>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</si>
  <si>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</si>
  <si>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</si>
  <si>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</si>
  <si>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</si>
  <si>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</si>
  <si>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</si>
  <si>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</si>
  <si>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</si>
  <si>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</si>
  <si>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</si>
  <si>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</si>
  <si>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</si>
  <si>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</si>
  <si>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</si>
  <si>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</si>
  <si>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</si>
  <si>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</si>
  <si>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</si>
  <si>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</si>
  <si>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</si>
  <si>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</si>
  <si>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</si>
  <si>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</si>
  <si>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</si>
  <si>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</si>
  <si>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</si>
  <si>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</si>
  <si>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</si>
  <si>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</si>
  <si>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</si>
  <si>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</si>
  <si>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</si>
  <si>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</si>
  <si>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</si>
  <si>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</si>
  <si>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</si>
  <si>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</si>
  <si>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</si>
  <si>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</si>
  <si>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</si>
  <si>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</si>
  <si>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</si>
  <si>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</si>
  <si>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</si>
  <si>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</si>
  <si>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</si>
  <si>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</si>
  <si>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</si>
  <si>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</si>
  <si>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</si>
  <si>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</si>
  <si>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</si>
  <si>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</si>
  <si>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</si>
  <si>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</si>
  <si>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</si>
  <si>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</si>
  <si>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</si>
  <si>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</si>
  <si>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</si>
  <si>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</si>
  <si>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</si>
  <si>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</si>
  <si>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</si>
  <si>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</si>
  <si>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</si>
  <si>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</si>
  <si>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</si>
  <si>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</si>
  <si>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</si>
  <si>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</si>
  <si>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</si>
  <si>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</si>
  <si>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</si>
  <si>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</si>
  <si>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</si>
  <si>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</si>
  <si>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</si>
  <si>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</si>
  <si>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</si>
  <si>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</si>
  <si>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</si>
  <si>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</si>
  <si>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</si>
  <si>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</si>
  <si>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</si>
  <si>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</si>
  <si>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</si>
  <si>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</si>
  <si>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</si>
  <si>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</si>
  <si>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</si>
  <si>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</si>
  <si>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</si>
  <si>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</si>
  <si>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</si>
  <si>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</si>
  <si>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</si>
  <si>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</si>
  <si>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</si>
  <si>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</si>
  <si>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</si>
  <si>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</si>
  <si>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</si>
  <si>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</si>
  <si>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</si>
  <si>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</si>
  <si>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</si>
  <si>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</si>
  <si>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</si>
  <si>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</si>
  <si>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</si>
  <si>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</si>
  <si>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</si>
  <si>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</si>
  <si>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</si>
  <si>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</si>
  <si>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</si>
  <si>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</si>
  <si>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</si>
  <si>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</si>
  <si>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</si>
  <si>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</si>
  <si>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</si>
  <si>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</si>
  <si>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</si>
  <si>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</si>
  <si>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</si>
  <si>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</si>
  <si>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</si>
  <si>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</si>
  <si>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</si>
  <si>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</si>
  <si>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</si>
  <si>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</si>
  <si>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</si>
  <si>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</si>
  <si>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</si>
  <si>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</si>
  <si>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</si>
  <si>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</si>
  <si>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</si>
  <si>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</si>
  <si>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</si>
  <si>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</si>
  <si>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</si>
  <si>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</si>
  <si>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</si>
  <si>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</si>
  <si>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</si>
  <si>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</si>
  <si>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</si>
  <si>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</si>
  <si>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</si>
  <si>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</si>
  <si>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</si>
  <si>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</si>
  <si>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</si>
  <si>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</si>
  <si>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</si>
  <si>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</si>
  <si>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</si>
  <si>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</si>
  <si>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</si>
  <si>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</si>
  <si>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</si>
  <si>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</si>
  <si>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</si>
  <si>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</si>
  <si>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</si>
  <si>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</si>
  <si>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</si>
  <si>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</si>
  <si>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</si>
  <si>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</si>
  <si>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</si>
  <si>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</si>
  <si>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</si>
  <si>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</si>
  <si>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</si>
  <si>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</si>
  <si>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</si>
  <si>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</si>
  <si>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</si>
  <si>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</si>
  <si>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</si>
  <si>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</si>
  <si>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</si>
  <si>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</si>
  <si>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</si>
  <si>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</si>
  <si>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</si>
  <si>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</si>
  <si>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</si>
  <si>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</si>
  <si>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</si>
  <si>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</si>
  <si>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</si>
  <si>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</si>
  <si>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</si>
  <si>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</si>
  <si>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</si>
  <si>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</si>
  <si>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</si>
  <si>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</si>
  <si>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</si>
  <si>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</si>
  <si>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</si>
  <si>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</si>
  <si>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</si>
  <si>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</si>
  <si>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</si>
  <si>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</si>
  <si>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</si>
  <si>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</si>
  <si>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</si>
  <si>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</si>
  <si>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</si>
  <si>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</si>
  <si>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</si>
  <si>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</si>
  <si>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</si>
  <si>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</si>
  <si>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</si>
  <si>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</si>
  <si>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</si>
  <si>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</si>
  <si>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</si>
  <si>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</si>
  <si>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</si>
  <si>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</si>
  <si>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</si>
  <si>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</si>
  <si>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</si>
  <si>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</si>
  <si>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</si>
  <si>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</si>
  <si>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</si>
  <si>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</si>
  <si>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</si>
  <si>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</si>
  <si>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</si>
  <si>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</si>
  <si>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</si>
  <si>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</si>
  <si>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</si>
  <si>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</si>
  <si>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</si>
  <si>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</si>
  <si>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</si>
  <si>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</si>
  <si>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</si>
  <si>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</si>
  <si>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</si>
  <si>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</si>
  <si>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</si>
  <si>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</si>
  <si>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</si>
  <si>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</si>
  <si>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</si>
  <si>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</si>
  <si>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</si>
  <si>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</si>
  <si>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</si>
  <si>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</si>
  <si>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</si>
  <si>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</si>
  <si>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</si>
  <si>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</si>
  <si>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</si>
  <si>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</si>
  <si>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</si>
  <si>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</si>
  <si>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</si>
  <si>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</si>
  <si>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</si>
  <si>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</si>
  <si>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</si>
  <si>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</si>
  <si>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</si>
  <si>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</si>
  <si>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</si>
  <si>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</si>
  <si>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</si>
  <si>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</si>
  <si>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</si>
  <si>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</si>
  <si>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</si>
  <si>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</si>
  <si>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</si>
  <si>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</si>
  <si>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</si>
  <si>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</si>
  <si>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</si>
  <si>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</si>
  <si>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</si>
  <si>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</si>
  <si>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</si>
  <si>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</si>
  <si>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</si>
  <si>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</si>
  <si>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</si>
  <si>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</si>
  <si>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</si>
  <si>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</si>
  <si>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</si>
  <si>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</si>
  <si>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</si>
  <si>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</si>
  <si>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</si>
  <si>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</si>
  <si>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</si>
  <si>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</si>
  <si>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</si>
  <si>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</si>
  <si>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</si>
  <si>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</si>
  <si>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</si>
  <si>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</si>
  <si>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</si>
  <si>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</si>
  <si>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</si>
  <si>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</si>
  <si>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</si>
  <si>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</si>
  <si>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</si>
  <si>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</si>
  <si>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</si>
  <si>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</si>
  <si>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</si>
  <si>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</si>
  <si>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</si>
  <si>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</si>
  <si>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</si>
  <si>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</si>
  <si>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</si>
  <si>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</si>
  <si>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</si>
  <si>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</si>
  <si>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</si>
  <si>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</si>
  <si>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</si>
  <si>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</si>
  <si>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</si>
  <si>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</si>
  <si>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</si>
  <si>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</si>
  <si>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</si>
  <si>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</si>
  <si>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</si>
  <si>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</si>
  <si>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</si>
  <si>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</si>
  <si>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</si>
  <si>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</si>
  <si>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</si>
  <si>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</si>
  <si>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</si>
  <si>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</si>
  <si>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</si>
  <si>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</si>
  <si>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</si>
  <si>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</si>
  <si>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</si>
  <si>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</si>
  <si>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</si>
  <si>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</si>
  <si>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</si>
  <si>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</si>
  <si>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</si>
  <si>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</si>
  <si>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</si>
  <si>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</si>
  <si>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</si>
  <si>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</si>
  <si>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</si>
  <si>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</si>
  <si>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</si>
  <si>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</si>
  <si>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</si>
  <si>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</si>
  <si>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</si>
  <si>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</si>
  <si>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</si>
  <si>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</si>
  <si>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</si>
  <si>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</si>
  <si>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</si>
  <si>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</si>
  <si>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</si>
  <si>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</si>
  <si>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</si>
  <si>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</si>
  <si>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</si>
  <si>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</si>
  <si>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</si>
  <si>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</si>
  <si>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</si>
  <si>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</si>
  <si>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</si>
  <si>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</si>
  <si>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</si>
  <si>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</si>
  <si>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</si>
  <si>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</si>
  <si>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</si>
  <si>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</si>
  <si>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</si>
  <si>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</si>
  <si>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</si>
  <si>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</si>
  <si>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</si>
  <si>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</si>
  <si>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</si>
  <si>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</si>
  <si>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</si>
  <si>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</si>
  <si>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</si>
  <si>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</si>
  <si>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</si>
  <si>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</si>
  <si>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</si>
  <si>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</si>
  <si>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</si>
  <si>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</si>
  <si>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</si>
  <si>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</si>
  <si>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</si>
  <si>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</si>
  <si>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</si>
  <si>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</si>
  <si>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</si>
  <si>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</si>
  <si>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</si>
  <si>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</si>
  <si>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</si>
  <si>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</si>
  <si>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</si>
  <si>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</si>
  <si>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</si>
  <si>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</si>
  <si>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</si>
  <si>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</si>
  <si>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</si>
  <si>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</si>
  <si>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</si>
  <si>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</si>
  <si>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</si>
  <si>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</si>
  <si>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</si>
  <si>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</si>
  <si>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</si>
  <si>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</si>
  <si>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</si>
  <si>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</si>
  <si>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</si>
  <si>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</si>
  <si>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</si>
  <si>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</si>
  <si>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</si>
  <si>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</si>
  <si>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</si>
  <si>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</si>
  <si>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</si>
  <si>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</si>
  <si>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</si>
  <si>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</si>
  <si>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</si>
  <si>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</si>
  <si>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</si>
  <si>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</si>
  <si>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</si>
  <si>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</si>
  <si>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</si>
  <si>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</si>
  <si>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</si>
  <si>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</si>
  <si>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</si>
  <si>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</si>
  <si>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</si>
  <si>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</si>
  <si>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</si>
  <si>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</si>
  <si>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</si>
  <si>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</si>
  <si>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</si>
  <si>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</si>
  <si>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</si>
  <si>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</si>
  <si>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</si>
  <si>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</si>
  <si>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</si>
  <si>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</si>
  <si>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</si>
  <si>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</si>
  <si>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</si>
  <si>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</si>
  <si>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</si>
  <si>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</si>
  <si>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</si>
  <si>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</si>
  <si>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</si>
  <si>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</si>
  <si>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</si>
  <si>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</si>
  <si>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</si>
  <si>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</si>
  <si>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</si>
  <si>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</si>
  <si>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</si>
  <si>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</si>
  <si>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</si>
  <si>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</si>
  <si>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</si>
  <si>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</si>
  <si>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</si>
  <si>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</si>
  <si>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</si>
  <si>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</si>
  <si>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</si>
  <si>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</si>
  <si>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</si>
  <si>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</si>
  <si>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</si>
  <si>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</si>
  <si>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</si>
  <si>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</si>
  <si>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</si>
  <si>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</si>
  <si>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</si>
  <si>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</si>
  <si>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</si>
  <si>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</si>
  <si>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</si>
  <si>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</si>
  <si>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</si>
  <si>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</si>
  <si>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</si>
  <si>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</si>
  <si>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</si>
  <si>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</si>
  <si>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</si>
  <si>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</si>
  <si>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</si>
  <si>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</si>
  <si>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</si>
  <si>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</si>
  <si>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</si>
  <si>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</si>
  <si>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</si>
  <si>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</si>
  <si>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</si>
  <si>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</si>
  <si>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</si>
  <si>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</si>
  <si>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</si>
  <si>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</si>
  <si>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</si>
  <si>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</si>
  <si>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</si>
  <si>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</si>
  <si>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</si>
  <si>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</si>
  <si>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</si>
  <si>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</si>
  <si>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</si>
  <si>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</si>
  <si>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</si>
  <si>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</si>
  <si>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</si>
  <si>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</si>
  <si>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</si>
  <si>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</si>
  <si>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</si>
  <si>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</si>
  <si>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</si>
  <si>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</si>
  <si>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</si>
  <si>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</si>
  <si>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</si>
  <si>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</si>
  <si>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</si>
  <si>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</si>
  <si>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</si>
  <si>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</si>
  <si>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</si>
  <si>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</si>
  <si>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</si>
  <si>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</si>
  <si>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</si>
  <si>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</si>
  <si>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</si>
  <si>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</si>
  <si>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</si>
  <si>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</si>
  <si>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</si>
  <si>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</si>
  <si>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</si>
  <si>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</si>
  <si>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</si>
  <si>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</si>
  <si>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</si>
  <si>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</si>
  <si>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</si>
  <si>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</si>
  <si>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</si>
  <si>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</si>
  <si>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</si>
  <si>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</si>
  <si>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</si>
  <si>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</si>
  <si>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</si>
  <si>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</si>
  <si>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</si>
  <si>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</si>
  <si>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</si>
  <si>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</si>
  <si>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</si>
  <si>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</si>
  <si>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</si>
  <si>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</si>
  <si>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</si>
  <si>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</si>
  <si>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</si>
  <si>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</si>
  <si>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</si>
  <si>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</si>
  <si>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</si>
  <si>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</si>
  <si>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</si>
  <si>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</si>
  <si>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</si>
  <si>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</si>
  <si>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</si>
  <si>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</si>
  <si>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</si>
  <si>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</si>
  <si>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</si>
  <si>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</si>
  <si>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</si>
  <si>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</si>
  <si>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</si>
  <si>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</si>
  <si>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</si>
  <si>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</si>
  <si>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</si>
  <si>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</si>
  <si>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</si>
  <si>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</si>
  <si>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</si>
  <si>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</si>
  <si>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</si>
  <si>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</si>
  <si>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</si>
  <si>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</si>
  <si>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</si>
  <si>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</si>
  <si>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</si>
  <si>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</si>
  <si>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</si>
  <si>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</si>
  <si>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</si>
  <si>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</si>
  <si>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</si>
  <si>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</si>
  <si>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</si>
  <si>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</si>
  <si>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</si>
  <si>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</si>
  <si>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</si>
  <si>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</si>
  <si>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</si>
  <si>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</si>
  <si>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</si>
  <si>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</si>
  <si>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</si>
  <si>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</si>
  <si>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</si>
  <si>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</si>
  <si>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</si>
  <si>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</si>
  <si>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</si>
  <si>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</si>
  <si>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</si>
  <si>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</si>
  <si>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</si>
  <si>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</si>
  <si>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</si>
  <si>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</si>
  <si>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</si>
  <si>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</si>
  <si>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</si>
  <si>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</si>
  <si>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</si>
  <si>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</si>
  <si>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</si>
  <si>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</si>
  <si>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</si>
  <si>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</si>
  <si>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</si>
  <si>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</si>
  <si>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</si>
  <si>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</si>
  <si>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</si>
  <si>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</si>
  <si>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</si>
  <si>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</si>
  <si>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</si>
  <si>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</si>
  <si>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</si>
  <si>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</si>
  <si>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</si>
  <si>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</si>
  <si>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</si>
  <si>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</si>
  <si>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</si>
  <si>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</si>
  <si>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</si>
  <si>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</si>
  <si>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</si>
  <si>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</si>
  <si>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</si>
  <si>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</si>
  <si>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</si>
  <si>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</si>
  <si>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</si>
  <si>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</si>
  <si>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</si>
  <si>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</si>
  <si>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</si>
  <si>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</si>
  <si>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</si>
  <si>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</si>
  <si>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</si>
  <si>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</si>
  <si>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</si>
  <si>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</si>
  <si>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</si>
  <si>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</si>
  <si>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</si>
  <si>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</si>
  <si>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</si>
  <si>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</si>
  <si>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</si>
  <si>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</si>
  <si>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</si>
  <si>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</si>
  <si>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</si>
  <si>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</si>
  <si>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</si>
  <si>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</si>
  <si>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</si>
  <si>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</si>
  <si>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</si>
  <si>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</si>
  <si>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</si>
  <si>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</si>
  <si>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</si>
  <si>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</si>
  <si>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</si>
  <si>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</si>
  <si>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</si>
  <si>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</si>
  <si>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</si>
  <si>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</si>
  <si>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</si>
  <si>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</si>
  <si>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</si>
  <si>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</si>
  <si>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</si>
  <si>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</si>
  <si>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</si>
  <si>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</si>
  <si>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</si>
  <si>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</si>
  <si>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</si>
  <si>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</si>
  <si>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</si>
  <si>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</si>
  <si>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</si>
  <si>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</si>
  <si>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</si>
  <si>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</si>
  <si>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</si>
  <si>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</si>
  <si>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</si>
  <si>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</si>
  <si>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</si>
  <si>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</si>
  <si>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</si>
  <si>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</si>
  <si>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</si>
  <si>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</si>
  <si>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</si>
  <si>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</si>
  <si>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</si>
  <si>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</si>
  <si>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</si>
  <si>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</si>
  <si>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</si>
  <si>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</si>
  <si>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</si>
  <si>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</si>
  <si>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</si>
  <si>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</si>
  <si>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</si>
  <si>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</si>
  <si>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</si>
  <si>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</si>
  <si>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</si>
  <si>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</si>
  <si>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</si>
  <si>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</si>
  <si>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</si>
  <si>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</si>
  <si>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</si>
  <si>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</si>
  <si>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</si>
  <si>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</si>
  <si>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</si>
  <si>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</si>
  <si>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</si>
  <si>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</si>
  <si>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</si>
  <si>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</si>
  <si>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</si>
  <si>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</si>
  <si>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</si>
  <si>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</si>
  <si>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</si>
  <si>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</si>
  <si>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</si>
  <si>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</si>
  <si>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</si>
  <si>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</si>
  <si>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</si>
  <si>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</si>
  <si>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</si>
  <si>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</si>
  <si>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</si>
  <si>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</si>
  <si>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</si>
  <si>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</si>
  <si>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</si>
  <si>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</si>
  <si>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</si>
  <si>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</si>
  <si>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</si>
  <si>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</si>
  <si>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</si>
  <si>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</si>
  <si>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</si>
  <si>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</si>
  <si>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</si>
  <si>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</si>
  <si>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</si>
  <si>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</si>
  <si>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</si>
  <si>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</si>
  <si>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</si>
  <si>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</si>
  <si>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</si>
  <si>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</si>
  <si>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</si>
  <si>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</si>
  <si>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</si>
  <si>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</si>
  <si>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</si>
  <si>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</si>
  <si>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</si>
  <si>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</si>
  <si>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</si>
  <si>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</si>
  <si>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</si>
  <si>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</si>
  <si>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</si>
  <si>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</si>
  <si>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</si>
  <si>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</si>
  <si>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</si>
  <si>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</si>
  <si>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</si>
  <si>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</si>
  <si>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</si>
  <si>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</si>
  <si>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</si>
  <si>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</si>
  <si>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</si>
  <si>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</si>
  <si>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</si>
  <si>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</si>
  <si>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</si>
  <si>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</si>
  <si>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</si>
  <si>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</si>
  <si>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</si>
  <si>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</si>
  <si>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</si>
  <si>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</si>
  <si>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</si>
  <si>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</si>
  <si>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</si>
  <si>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</si>
  <si>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</si>
  <si>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</si>
  <si>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</si>
  <si>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</si>
  <si>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</si>
  <si>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</si>
  <si>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</si>
  <si>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</si>
  <si>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</si>
  <si>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</si>
  <si>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</si>
  <si>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</si>
  <si>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</si>
  <si>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</si>
  <si>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</si>
  <si>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</si>
  <si>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</si>
  <si>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</si>
  <si>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</si>
  <si>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</si>
  <si>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</si>
  <si>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</si>
  <si>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</si>
  <si>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</si>
  <si>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</si>
  <si>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</si>
  <si>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</si>
  <si>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</si>
  <si>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</si>
  <si>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</si>
  <si>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</si>
  <si>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</si>
  <si>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</si>
  <si>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</si>
  <si>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</si>
  <si>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</si>
  <si>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</si>
  <si>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</si>
  <si>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</si>
  <si>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</si>
  <si>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</si>
  <si>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</si>
  <si>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</si>
  <si>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</si>
  <si>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</si>
  <si>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</si>
  <si>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</si>
  <si>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</si>
  <si>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</si>
  <si>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</si>
  <si>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</si>
  <si>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</si>
  <si>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</si>
  <si>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</si>
  <si>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</si>
  <si>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</si>
  <si>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</si>
  <si>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</si>
  <si>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</si>
  <si>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</si>
  <si>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</si>
  <si>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</si>
  <si>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</si>
  <si>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</si>
  <si>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</si>
  <si>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</si>
  <si>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</si>
  <si>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</si>
  <si>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</si>
  <si>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</si>
  <si>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</si>
  <si>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</si>
  <si>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</si>
  <si>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</si>
  <si>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</si>
  <si>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</si>
  <si>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</si>
  <si>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</si>
  <si>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</si>
  <si>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</si>
  <si>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</si>
  <si>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</si>
  <si>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</si>
  <si>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</si>
  <si>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</si>
  <si>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</si>
  <si>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</si>
  <si>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</si>
  <si>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</si>
  <si>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</si>
  <si>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</si>
  <si>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</si>
  <si>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</si>
  <si>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</si>
  <si>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</si>
  <si>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</si>
  <si>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</si>
  <si>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</si>
  <si>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</si>
  <si>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</si>
  <si>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</si>
  <si>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</si>
  <si>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</si>
  <si>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</si>
  <si>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</si>
  <si>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</si>
  <si>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</si>
  <si>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</si>
  <si>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</si>
  <si>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</si>
  <si>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</si>
  <si>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</si>
  <si>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</si>
  <si>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</si>
  <si>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</si>
  <si>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</si>
  <si>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</si>
  <si>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</si>
  <si>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</si>
  <si>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</si>
  <si>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</si>
  <si>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</si>
  <si>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</si>
  <si>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</si>
  <si>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</si>
  <si>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</si>
  <si>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</si>
  <si>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</si>
  <si>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</si>
  <si>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</si>
  <si>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</si>
  <si>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</si>
  <si>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</si>
  <si>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</si>
  <si>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</si>
  <si>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</si>
  <si>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</si>
  <si>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</si>
  <si>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</si>
  <si>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</si>
  <si>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</si>
  <si>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</si>
  <si>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</si>
  <si>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</si>
  <si>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</si>
  <si>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</si>
  <si>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</si>
  <si>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</si>
  <si>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</si>
  <si>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</si>
  <si>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</si>
  <si>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</si>
  <si>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</si>
  <si>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</si>
  <si>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</si>
  <si>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</si>
  <si>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</si>
  <si>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</si>
  <si>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</si>
  <si>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</si>
  <si>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</si>
  <si>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</si>
  <si>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</si>
  <si>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</si>
  <si>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</si>
  <si>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</si>
  <si>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</si>
  <si>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</si>
  <si>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</si>
  <si>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</si>
  <si>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</si>
  <si>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</si>
  <si>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</si>
  <si>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</si>
  <si>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</si>
  <si>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</si>
  <si>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</si>
  <si>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</si>
  <si>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</si>
  <si>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</si>
  <si>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</si>
  <si>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</si>
  <si>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</si>
  <si>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</si>
  <si>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</si>
  <si>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</si>
  <si>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</si>
  <si>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</si>
  <si>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</si>
  <si>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</si>
  <si>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</si>
  <si>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</si>
  <si>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</si>
  <si>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</si>
  <si>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</si>
  <si>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</si>
  <si>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</si>
  <si>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</si>
  <si>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</si>
  <si>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</si>
  <si>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</si>
  <si>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</si>
  <si>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</si>
  <si>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</si>
  <si>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</si>
  <si>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</si>
  <si>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</si>
  <si>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</si>
  <si>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</si>
  <si>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</si>
  <si>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</si>
  <si>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</si>
  <si>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</si>
  <si>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</si>
  <si>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</si>
  <si>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</si>
  <si>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</si>
  <si>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</si>
  <si>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</si>
  <si>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</si>
  <si>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</si>
  <si>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</si>
  <si>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</si>
  <si>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</si>
  <si>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</si>
  <si>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</si>
  <si>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</si>
  <si>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</si>
  <si>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</si>
  <si>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</si>
  <si>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</si>
  <si>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</si>
  <si>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</si>
  <si>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</si>
  <si>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</si>
  <si>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</si>
  <si>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</si>
  <si>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</si>
  <si>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</si>
  <si>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</si>
  <si>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</si>
  <si>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</si>
  <si>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</si>
  <si>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</si>
  <si>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</si>
  <si>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</si>
  <si>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</si>
  <si>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</si>
  <si>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</si>
  <si>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</si>
  <si>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</si>
  <si>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</si>
  <si>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</si>
  <si>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</si>
  <si>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</si>
  <si>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</si>
  <si>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</si>
  <si>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</si>
  <si>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</si>
  <si>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</si>
  <si>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</si>
  <si>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</si>
  <si>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</si>
  <si>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</si>
  <si>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</si>
  <si>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</si>
  <si>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</si>
  <si>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</si>
  <si>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</si>
  <si>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</si>
  <si>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</si>
  <si>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</si>
  <si>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</si>
  <si>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</si>
  <si>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</si>
  <si>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</si>
  <si>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</si>
  <si>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</si>
  <si>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</si>
  <si>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</si>
  <si>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</si>
  <si>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</si>
  <si>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</si>
  <si>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</si>
  <si>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</si>
  <si>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</si>
  <si>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</si>
  <si>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</si>
  <si>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</si>
  <si>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</si>
  <si>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</si>
  <si>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</si>
  <si>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</si>
  <si>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</si>
  <si>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</si>
  <si>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</si>
  <si>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</si>
  <si>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</si>
  <si>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</si>
  <si>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</si>
  <si>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</si>
  <si>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</si>
  <si>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</si>
  <si>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</si>
  <si>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</si>
  <si>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</si>
  <si>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</si>
  <si>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</si>
  <si>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</si>
  <si>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</si>
  <si>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</si>
  <si>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</si>
  <si>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</si>
  <si>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</si>
  <si>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</si>
  <si>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</si>
  <si>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</si>
  <si>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</si>
  <si>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</si>
  <si>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</si>
  <si>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</si>
  <si>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</si>
  <si>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</si>
  <si>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</si>
  <si>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</si>
  <si>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</si>
  <si>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</si>
  <si>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</si>
  <si>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</si>
  <si>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</si>
  <si>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</si>
  <si>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</si>
  <si>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</si>
  <si>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</si>
  <si>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</si>
  <si>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</si>
  <si>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</si>
  <si>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</si>
  <si>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</si>
  <si>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</si>
  <si>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</si>
  <si>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</si>
  <si>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</si>
  <si>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</si>
  <si>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</si>
  <si>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</si>
  <si>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</si>
  <si>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</si>
  <si>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</si>
  <si>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</si>
  <si>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</si>
  <si>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</si>
  <si>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</si>
  <si>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</si>
  <si>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</si>
  <si>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</si>
  <si>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</si>
  <si>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</si>
  <si>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</si>
  <si>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</si>
  <si>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</si>
  <si>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</si>
  <si>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</si>
  <si>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</si>
  <si>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</si>
  <si>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</si>
  <si>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</si>
  <si>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</si>
  <si>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</si>
  <si>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</si>
  <si>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</si>
  <si>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</si>
  <si>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</si>
  <si>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</si>
  <si>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</si>
  <si>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</si>
  <si>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</si>
  <si>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</si>
  <si>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</si>
  <si>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</si>
  <si>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</si>
  <si>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</si>
  <si>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</si>
  <si>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</si>
  <si>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</si>
  <si>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</si>
  <si>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</si>
  <si>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</si>
  <si>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</si>
  <si>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</si>
  <si>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</si>
  <si>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</si>
  <si>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</si>
  <si>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</si>
  <si>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</si>
  <si>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</si>
  <si>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</si>
  <si>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</si>
  <si>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</si>
  <si>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</si>
  <si>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</si>
  <si>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</si>
  <si>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</si>
  <si>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</si>
  <si>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</si>
  <si>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</si>
  <si>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</si>
  <si>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</si>
  <si>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</si>
  <si>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</si>
  <si>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</si>
  <si>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</si>
  <si>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</si>
  <si>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</si>
  <si>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</si>
  <si>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</si>
  <si>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</si>
  <si>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</si>
  <si>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</si>
  <si>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</si>
  <si>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</si>
  <si>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</si>
  <si>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</si>
  <si>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</si>
  <si>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</si>
  <si>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</si>
  <si>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</si>
  <si>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</si>
  <si>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</si>
  <si>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</si>
  <si>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</si>
  <si>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</si>
  <si>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</si>
  <si>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</si>
  <si>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</si>
  <si>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</si>
  <si>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</si>
  <si>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</si>
  <si>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</si>
  <si>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</si>
  <si>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</si>
  <si>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</si>
  <si>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</si>
  <si>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</si>
  <si>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</si>
  <si>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</si>
  <si>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</si>
  <si>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</si>
  <si>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</si>
  <si>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</si>
  <si>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</si>
  <si>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</si>
  <si>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</si>
  <si>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</si>
  <si>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</si>
  <si>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</si>
  <si>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</si>
  <si>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</si>
  <si>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</si>
  <si>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</si>
  <si>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</si>
  <si>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</si>
  <si>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</si>
  <si>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</si>
  <si>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</si>
  <si>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</si>
  <si>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</si>
  <si>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</si>
  <si>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</si>
  <si>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</si>
  <si>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</si>
  <si>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</si>
  <si>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</si>
  <si>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</si>
  <si>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</si>
  <si>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</si>
  <si>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</si>
  <si>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</si>
  <si>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</si>
  <si>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</si>
  <si>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</si>
  <si>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</si>
  <si>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</si>
  <si>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</si>
  <si>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</si>
  <si>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</si>
  <si>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</si>
  <si>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</si>
  <si>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</si>
  <si>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</si>
  <si>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</si>
  <si>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</si>
  <si>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</si>
  <si>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</si>
  <si>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</si>
  <si>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</si>
  <si>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</si>
  <si>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</si>
  <si>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</si>
  <si>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</si>
  <si>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</si>
  <si>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</si>
  <si>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</si>
  <si>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</si>
  <si>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</si>
  <si>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</si>
  <si>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</si>
  <si>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</si>
  <si>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</si>
  <si>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</si>
  <si>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</si>
  <si>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</si>
  <si>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</si>
  <si>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</si>
  <si>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</si>
  <si>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</si>
  <si>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</si>
  <si>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</si>
  <si>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</si>
  <si>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</si>
  <si>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</si>
  <si>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</si>
  <si>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</si>
  <si>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</si>
  <si>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</si>
  <si>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</si>
  <si>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</si>
  <si>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</si>
  <si>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</si>
  <si>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</si>
  <si>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</si>
  <si>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</si>
  <si>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</si>
  <si>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</si>
  <si>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</si>
  <si>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</si>
  <si>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</si>
  <si>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</si>
  <si>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</si>
  <si>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</si>
  <si>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</si>
  <si>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</si>
  <si>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</si>
  <si>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</si>
  <si>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</si>
  <si>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</si>
  <si>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</si>
  <si>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</si>
  <si>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</si>
  <si>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</si>
  <si>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</si>
  <si>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</si>
  <si>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</si>
  <si>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</si>
  <si>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</si>
  <si>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</si>
  <si>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</si>
  <si>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</si>
  <si>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</si>
  <si>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</si>
  <si>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</si>
  <si>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</si>
  <si>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</si>
  <si>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</si>
  <si>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</si>
  <si>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</si>
  <si>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</si>
  <si>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</si>
  <si>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</si>
  <si>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</si>
  <si>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</si>
  <si>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</si>
  <si>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</si>
  <si>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</si>
  <si>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</si>
  <si>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</si>
  <si>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</si>
  <si>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</si>
  <si>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</si>
  <si>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</si>
  <si>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</si>
  <si>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</si>
  <si>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</si>
  <si>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</si>
  <si>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</si>
  <si>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</si>
  <si>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</si>
  <si>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</si>
  <si>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</si>
  <si>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</si>
  <si>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</si>
  <si>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</si>
  <si>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</si>
  <si>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</si>
  <si>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</si>
  <si>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</si>
  <si>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</si>
  <si>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</si>
  <si>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</si>
  <si>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</si>
  <si>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</si>
  <si>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</si>
  <si>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</si>
  <si>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</si>
  <si>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</si>
  <si>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</si>
  <si>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</si>
  <si>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</si>
  <si>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</si>
  <si>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</si>
  <si>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</si>
  <si>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</si>
  <si>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</si>
  <si>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</si>
  <si>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</si>
  <si>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</si>
  <si>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</si>
  <si>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</si>
  <si>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</si>
  <si>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</si>
  <si>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</si>
  <si>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</si>
  <si>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</si>
  <si>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</si>
  <si>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</si>
  <si>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</si>
  <si>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</si>
  <si>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</si>
  <si>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</si>
  <si>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</si>
  <si>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</si>
  <si>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</si>
  <si>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</si>
  <si>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</si>
  <si>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</si>
  <si>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</si>
  <si>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</si>
  <si>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</si>
  <si>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</si>
  <si>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</si>
  <si>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</si>
  <si>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</si>
  <si>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</si>
  <si>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</si>
  <si>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</si>
  <si>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</si>
  <si>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</si>
  <si>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</si>
  <si>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</si>
  <si>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</si>
  <si>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</si>
  <si>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</si>
  <si>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</si>
  <si>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</si>
  <si>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</si>
  <si>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</si>
  <si>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</si>
  <si>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</si>
  <si>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</si>
  <si>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</si>
  <si>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</si>
  <si>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</si>
  <si>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</si>
  <si>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</si>
  <si>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</si>
  <si>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</si>
  <si>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</si>
  <si>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</si>
  <si>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</si>
  <si>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</si>
  <si>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</si>
  <si>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</si>
  <si>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</si>
  <si>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</si>
  <si>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</si>
  <si>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</si>
  <si>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</si>
  <si>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</si>
  <si>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</si>
  <si>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</si>
  <si>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</si>
  <si>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</si>
  <si>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</si>
  <si>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</si>
  <si>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</si>
  <si>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</si>
  <si>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</si>
  <si>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</si>
  <si>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</si>
  <si>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</si>
  <si>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</si>
  <si>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</si>
  <si>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</si>
  <si>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</si>
  <si>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</si>
  <si>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</si>
  <si>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</si>
  <si>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</si>
  <si>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</si>
  <si>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</si>
  <si>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</si>
  <si>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</si>
  <si>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</si>
  <si>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</si>
  <si>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</si>
  <si>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</si>
  <si>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</si>
  <si>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</si>
  <si>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</si>
  <si>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</si>
  <si>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</si>
  <si>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</si>
  <si>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</si>
  <si>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</si>
  <si>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</si>
  <si>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</si>
  <si>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</si>
  <si>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</si>
  <si>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</si>
  <si>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</si>
  <si>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</si>
  <si>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</si>
  <si>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</si>
  <si>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</si>
  <si>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</si>
  <si>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</si>
  <si>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</si>
  <si>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</si>
  <si>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</si>
  <si>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</si>
  <si>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</si>
  <si>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</si>
  <si>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</si>
  <si>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</si>
  <si>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</si>
  <si>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</si>
  <si>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</si>
  <si>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</si>
  <si>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</si>
  <si>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</si>
  <si>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</si>
  <si>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</si>
  <si>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</si>
  <si>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</si>
  <si>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</si>
  <si>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</si>
  <si>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</si>
  <si>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</si>
  <si>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</si>
  <si>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</si>
  <si>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</si>
  <si>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</si>
  <si>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</si>
  <si>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</si>
  <si>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</si>
  <si>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</si>
  <si>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</si>
  <si>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</si>
  <si>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</si>
  <si>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</si>
  <si>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</si>
  <si>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</si>
  <si>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</si>
  <si>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</si>
  <si>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</si>
  <si>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</si>
  <si>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</si>
  <si>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</si>
  <si>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</si>
  <si>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</si>
  <si>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</si>
  <si>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</si>
  <si>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</si>
  <si>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</si>
  <si>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</si>
  <si>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</si>
  <si>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</si>
  <si>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</si>
  <si>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</si>
  <si>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</si>
  <si>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</si>
  <si>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</si>
  <si>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</si>
  <si>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</si>
  <si>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</si>
  <si>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</si>
  <si>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</si>
  <si>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</si>
  <si>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</si>
  <si>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</si>
  <si>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</si>
  <si>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</si>
  <si>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</si>
  <si>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</si>
  <si>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</si>
  <si>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</si>
  <si>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</si>
  <si>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</si>
  <si>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</si>
  <si>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</si>
  <si>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</si>
  <si>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</si>
  <si>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</si>
  <si>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</si>
  <si>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</si>
  <si>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</si>
  <si>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</si>
  <si>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</si>
  <si>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</si>
  <si>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</si>
  <si>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</si>
  <si>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</si>
  <si>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</si>
  <si>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</si>
  <si>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</si>
  <si>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</si>
  <si>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</si>
  <si>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</si>
  <si>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</si>
  <si>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</si>
  <si>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</si>
  <si>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</si>
  <si>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</si>
  <si>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</si>
  <si>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</si>
  <si>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</si>
  <si>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</si>
  <si>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</si>
  <si>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</si>
  <si>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</si>
  <si>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</si>
  <si>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</si>
  <si>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</si>
  <si>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</si>
  <si>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</si>
  <si>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</si>
  <si>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</si>
  <si>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</si>
  <si>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</si>
  <si>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</si>
  <si>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</si>
  <si>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</si>
  <si>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</si>
  <si>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</si>
  <si>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</si>
  <si>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</si>
  <si>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</si>
  <si>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</si>
  <si>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</si>
  <si>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</si>
  <si>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</si>
  <si>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</si>
  <si>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</si>
  <si>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</si>
  <si>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</si>
  <si>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</si>
  <si>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</si>
  <si>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</si>
  <si>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</si>
  <si>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</si>
  <si>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</si>
  <si>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</si>
  <si>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</si>
  <si>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</si>
  <si>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</si>
  <si>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</si>
  <si>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</si>
  <si>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</si>
  <si>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</si>
  <si>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</si>
  <si>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</si>
  <si>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</si>
  <si>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</si>
  <si>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</si>
  <si>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</si>
  <si>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</si>
  <si>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</si>
  <si>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</si>
  <si>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</si>
  <si>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</si>
  <si>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</si>
  <si>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</si>
  <si>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</si>
  <si>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</si>
  <si>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</si>
  <si>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</si>
  <si>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</si>
  <si>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</si>
  <si>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</si>
  <si>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</si>
  <si>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</si>
  <si>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</si>
  <si>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</si>
  <si>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</si>
  <si>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</si>
  <si>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</si>
  <si>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</si>
  <si>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</si>
  <si>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</si>
  <si>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</si>
  <si>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</si>
  <si>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</si>
  <si>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</si>
  <si>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</si>
  <si>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</si>
  <si>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</si>
  <si>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</si>
  <si>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</si>
  <si>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</si>
  <si>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</si>
  <si>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</si>
  <si>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</si>
  <si>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</si>
  <si>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</si>
  <si>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</si>
  <si>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</si>
  <si>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</si>
  <si>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</si>
  <si>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</si>
  <si>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</si>
  <si>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</si>
  <si>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</si>
  <si>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</si>
  <si>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</si>
  <si>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</si>
  <si>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</si>
  <si>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</si>
  <si>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</si>
  <si>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</si>
  <si>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</si>
  <si>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</si>
  <si>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</si>
  <si>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</si>
  <si>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</si>
  <si>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</si>
  <si>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</si>
  <si>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</si>
  <si>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</si>
  <si>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</si>
  <si>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</si>
  <si>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</si>
  <si>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</si>
  <si>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</si>
  <si>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</si>
  <si>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</si>
  <si>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</si>
  <si>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</si>
  <si>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</si>
  <si>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</si>
  <si>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</si>
  <si>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</si>
  <si>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</si>
  <si>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</si>
  <si>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</si>
  <si>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</si>
  <si>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</si>
  <si>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</si>
  <si>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</si>
  <si>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</si>
  <si>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</si>
  <si>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</si>
  <si>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</si>
  <si>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</si>
  <si>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</si>
  <si>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</si>
  <si>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</si>
  <si>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</si>
  <si>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</si>
  <si>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</si>
  <si>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</si>
  <si>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</si>
  <si>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</si>
  <si>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</si>
  <si>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</si>
  <si>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</si>
  <si>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</si>
  <si>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</si>
  <si>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</si>
  <si>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</si>
  <si>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</si>
  <si>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</si>
  <si>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</si>
  <si>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</si>
  <si>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</si>
  <si>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</si>
  <si>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</si>
  <si>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</si>
  <si>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</si>
  <si>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</si>
  <si>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</si>
  <si>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</si>
  <si>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</si>
  <si>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</si>
  <si>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</si>
  <si>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</si>
  <si>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</si>
  <si>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</si>
  <si>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</si>
  <si>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</si>
  <si>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</si>
  <si>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</si>
  <si>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</si>
  <si>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</si>
  <si>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</si>
  <si>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</si>
  <si>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</si>
  <si>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</si>
  <si>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</si>
  <si>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</si>
  <si>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</si>
  <si>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</si>
  <si>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</si>
  <si>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</si>
  <si>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</si>
  <si>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</si>
  <si>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</si>
  <si>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</si>
  <si>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</si>
  <si>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</si>
  <si>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</si>
  <si>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</si>
  <si>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</si>
  <si>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</si>
  <si>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</si>
  <si>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</si>
  <si>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</si>
  <si>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</si>
  <si>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</si>
  <si>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</si>
  <si>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</si>
  <si>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</si>
  <si>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</si>
  <si>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</si>
  <si>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</si>
  <si>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</si>
  <si>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</si>
  <si>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</si>
  <si>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</si>
  <si>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</si>
  <si>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</si>
  <si>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</si>
  <si>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</si>
  <si>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</si>
  <si>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</si>
  <si>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</si>
  <si>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</si>
  <si>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</si>
  <si>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</si>
  <si>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</si>
  <si>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</si>
  <si>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</si>
  <si>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</si>
  <si>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</si>
  <si>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</si>
  <si>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</si>
  <si>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</si>
  <si>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</si>
  <si>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</si>
  <si>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</si>
  <si>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</si>
  <si>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</si>
  <si>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</si>
  <si>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</si>
  <si>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</si>
  <si>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</si>
  <si>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</si>
  <si>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</si>
  <si>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</si>
  <si>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</si>
  <si>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</si>
  <si>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</si>
  <si>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</si>
  <si>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</si>
  <si>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</si>
  <si>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</si>
  <si>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</si>
  <si>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</si>
  <si>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</si>
  <si>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</si>
  <si>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</si>
  <si>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</si>
  <si>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</si>
  <si>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</si>
  <si>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</si>
  <si>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</si>
  <si>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</si>
  <si>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</si>
  <si>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</si>
  <si>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</si>
  <si>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</si>
  <si>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</si>
  <si>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</si>
  <si>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</si>
  <si>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</si>
  <si>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</si>
  <si>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</si>
  <si>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</si>
  <si>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</si>
  <si>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</si>
  <si>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</si>
  <si>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</si>
  <si>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</si>
  <si>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</si>
  <si>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</si>
  <si>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</si>
  <si>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</si>
  <si>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</si>
  <si>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</si>
  <si>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</si>
  <si>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</si>
  <si>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</si>
  <si>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</si>
  <si>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</si>
  <si>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</si>
  <si>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</si>
  <si>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</si>
  <si>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</si>
  <si>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</si>
  <si>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</si>
  <si>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</si>
  <si>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</si>
  <si>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</si>
  <si>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</si>
  <si>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</si>
  <si>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</si>
  <si>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</si>
  <si>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</si>
  <si>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</si>
  <si>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</si>
  <si>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</si>
  <si>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</si>
  <si>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</si>
  <si>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</si>
  <si>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</si>
  <si>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</si>
  <si>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</si>
  <si>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</si>
  <si>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</si>
  <si>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</si>
  <si>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</si>
  <si>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</si>
  <si>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</si>
  <si>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</si>
  <si>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</si>
  <si>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</si>
  <si>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</si>
  <si>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</si>
  <si>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</si>
  <si>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</si>
  <si>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</si>
  <si>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</si>
  <si>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</si>
  <si>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</si>
  <si>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</si>
  <si>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</si>
  <si>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</si>
  <si>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</si>
  <si>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</si>
  <si>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</si>
  <si>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</si>
  <si>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</si>
  <si>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</si>
  <si>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</si>
  <si>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</si>
  <si>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</si>
  <si>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</si>
  <si>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</si>
  <si>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</si>
  <si>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</si>
  <si>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</si>
  <si>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</si>
  <si>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</si>
  <si>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</si>
  <si>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</si>
  <si>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</si>
  <si>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</si>
  <si>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</si>
  <si>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</si>
  <si>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</si>
  <si>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</si>
  <si>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</si>
  <si>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</si>
  <si>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</si>
  <si>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</si>
  <si>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</si>
  <si>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</si>
  <si>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</si>
  <si>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</si>
  <si>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</si>
  <si>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</si>
  <si>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</si>
  <si>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</si>
  <si>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</si>
  <si>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</si>
  <si>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</si>
  <si>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</si>
  <si>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</si>
  <si>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</si>
  <si>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</si>
  <si>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</si>
  <si>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</si>
  <si>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</si>
  <si>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</si>
  <si>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</si>
  <si>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</si>
  <si>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</si>
  <si>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</si>
  <si>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</si>
  <si>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</si>
  <si>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</si>
  <si>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</si>
  <si>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</si>
  <si>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</si>
  <si>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</si>
  <si>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</si>
  <si>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</si>
  <si>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</si>
  <si>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</si>
  <si>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</si>
  <si>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</si>
  <si>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</si>
  <si>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</si>
  <si>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</si>
  <si>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</si>
  <si>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</si>
  <si>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</si>
  <si>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</si>
  <si>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</si>
  <si>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</si>
  <si>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</si>
  <si>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</si>
  <si>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</si>
  <si>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</si>
  <si>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</si>
  <si>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</si>
  <si>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</si>
  <si>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</si>
  <si>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</si>
  <si>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</si>
  <si>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</si>
  <si>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</si>
  <si>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</si>
  <si>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</si>
  <si>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</si>
  <si>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</si>
  <si>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</si>
  <si>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</si>
  <si>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</si>
  <si>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</si>
  <si>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</si>
  <si>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</si>
  <si>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</si>
  <si>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</si>
  <si>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</si>
  <si>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</si>
  <si>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</si>
  <si>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</si>
  <si>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</si>
  <si>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</si>
  <si>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</si>
  <si>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</si>
  <si>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</si>
  <si>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</si>
  <si>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</si>
  <si>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</si>
  <si>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</si>
  <si>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</si>
  <si>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</si>
  <si>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</si>
  <si>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</si>
  <si>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</si>
  <si>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</si>
  <si>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</si>
  <si>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</si>
  <si>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</si>
  <si>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</si>
  <si>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</si>
  <si>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</si>
  <si>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</si>
  <si>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</si>
  <si>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</si>
  <si>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</si>
  <si>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</si>
  <si>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</si>
  <si>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</si>
  <si>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</si>
  <si>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</si>
  <si>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</si>
  <si>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</si>
  <si>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</si>
  <si>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</si>
  <si>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</si>
  <si>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</si>
  <si>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</si>
  <si>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</si>
  <si>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</si>
  <si>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</si>
  <si>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</si>
  <si>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</si>
  <si>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</si>
  <si>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</si>
  <si>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</si>
  <si>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</si>
  <si>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</si>
  <si>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</si>
  <si>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</si>
  <si>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</si>
  <si>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</si>
  <si>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</si>
  <si>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</si>
  <si>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</si>
  <si>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</si>
  <si>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</si>
  <si>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</si>
  <si>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</si>
  <si>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</si>
  <si>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</si>
  <si>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</si>
  <si>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</si>
  <si>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</si>
  <si>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</si>
  <si>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</si>
  <si>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</si>
  <si>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</si>
  <si>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</si>
  <si>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</si>
  <si>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</si>
  <si>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</si>
  <si>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</si>
  <si>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</si>
  <si>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</si>
  <si>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</si>
  <si>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</si>
  <si>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</si>
  <si>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</si>
  <si>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</si>
  <si>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</si>
  <si>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</si>
  <si>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</si>
  <si>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</si>
  <si>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</si>
  <si>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</si>
  <si>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</si>
  <si>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</si>
  <si>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</si>
  <si>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</si>
  <si>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</si>
  <si>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</si>
  <si>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</si>
  <si>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</si>
  <si>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</si>
  <si>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</si>
  <si>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</si>
  <si>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</si>
  <si>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</si>
  <si>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</si>
  <si>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</si>
  <si>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</si>
  <si>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</si>
  <si>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</si>
  <si>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</si>
  <si>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</si>
  <si>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</si>
  <si>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</si>
  <si>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</si>
  <si>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</si>
  <si>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</si>
  <si>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</si>
  <si>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</si>
  <si>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</si>
  <si>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</si>
  <si>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</si>
  <si>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</si>
  <si>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</si>
  <si>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</si>
  <si>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</si>
  <si>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</si>
  <si>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</si>
  <si>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</si>
  <si>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</si>
  <si>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</si>
  <si>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</si>
  <si>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</si>
  <si>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</si>
  <si>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</si>
  <si>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</si>
  <si>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</si>
  <si>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</si>
  <si>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</si>
  <si>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</si>
  <si>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</si>
  <si>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</si>
  <si>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</si>
  <si>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</si>
  <si>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</si>
  <si>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</si>
  <si>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</si>
  <si>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</si>
  <si>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</si>
  <si>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</si>
  <si>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</si>
  <si>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</si>
  <si>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</si>
  <si>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</si>
  <si>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</si>
  <si>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</si>
  <si>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</si>
  <si>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</si>
  <si>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</si>
  <si>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</si>
  <si>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</si>
  <si>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</si>
  <si>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</si>
  <si>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</si>
  <si>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</si>
  <si>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</si>
  <si>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</si>
  <si>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</si>
  <si>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</si>
  <si>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</si>
  <si>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</si>
  <si>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</si>
  <si>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</si>
  <si>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</si>
  <si>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</si>
  <si>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</si>
  <si>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</si>
  <si>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</si>
  <si>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</si>
  <si>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</si>
  <si>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</si>
  <si>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</si>
  <si>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</si>
  <si>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</si>
  <si>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</si>
  <si>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</si>
  <si>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</si>
  <si>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</si>
  <si>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</si>
  <si>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</si>
  <si>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</si>
  <si>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</si>
  <si>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</si>
  <si>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</si>
  <si>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</si>
  <si>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</si>
  <si>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</si>
  <si>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</si>
  <si>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</si>
  <si>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</si>
  <si>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</si>
  <si>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</si>
  <si>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</si>
  <si>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</si>
  <si>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</si>
  <si>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</si>
  <si>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</si>
  <si>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</si>
  <si>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</si>
  <si>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</si>
  <si>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</si>
  <si>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</si>
  <si>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</si>
  <si>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</si>
  <si>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</si>
  <si>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</si>
  <si>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</si>
  <si>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</si>
  <si>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</si>
  <si>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</si>
  <si>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</si>
  <si>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</si>
  <si>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</si>
  <si>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</si>
  <si>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</si>
  <si>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</si>
  <si>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</si>
  <si>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</si>
  <si>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</si>
  <si>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</si>
  <si>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</si>
  <si>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</si>
  <si>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</si>
  <si>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</si>
  <si>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</si>
  <si>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</si>
  <si>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</si>
  <si>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</si>
  <si>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</si>
  <si>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</si>
  <si>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</si>
  <si>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</si>
  <si>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</si>
  <si>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</si>
  <si>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</si>
  <si>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</si>
  <si>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</si>
  <si>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</si>
  <si>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</si>
  <si>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</si>
  <si>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</si>
  <si>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</si>
  <si>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</si>
  <si>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</si>
  <si>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</si>
  <si>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</si>
  <si>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</si>
  <si>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</si>
  <si>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</si>
  <si>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</si>
  <si>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</si>
  <si>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</si>
  <si>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</si>
  <si>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</si>
  <si>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</si>
  <si>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</si>
  <si>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</si>
  <si>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</si>
  <si>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</si>
  <si>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</si>
  <si>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</si>
  <si>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</si>
  <si>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</si>
  <si>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</si>
  <si>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</si>
  <si>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</si>
  <si>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</si>
  <si>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</si>
  <si>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</si>
  <si>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</si>
  <si>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</si>
  <si>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</si>
  <si>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</si>
  <si>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</si>
  <si>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</si>
  <si>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</si>
  <si>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</si>
  <si>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</si>
  <si>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</si>
  <si>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</si>
  <si>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</si>
  <si>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</si>
  <si>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</si>
  <si>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</si>
  <si>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</si>
  <si>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</si>
  <si>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</si>
  <si>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</si>
  <si>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</si>
  <si>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</si>
  <si>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</si>
  <si>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</si>
  <si>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</si>
  <si>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</si>
  <si>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</si>
  <si>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</si>
  <si>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</si>
  <si>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</si>
  <si>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</si>
  <si>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</si>
  <si>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</si>
  <si>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</si>
  <si>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</si>
  <si>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</si>
  <si>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</si>
  <si>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</si>
  <si>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</si>
  <si>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</si>
  <si>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</si>
  <si>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</si>
  <si>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</si>
  <si>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</si>
  <si>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</si>
  <si>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</si>
  <si>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</si>
  <si>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</si>
  <si>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</si>
  <si>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</si>
  <si>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</si>
  <si>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</si>
  <si>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</si>
  <si>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</si>
  <si>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</si>
  <si>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</si>
  <si>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</si>
  <si>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</si>
  <si>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</si>
  <si>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</si>
  <si>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</si>
  <si>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</si>
  <si>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</si>
  <si>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</si>
  <si>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</si>
  <si>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</si>
  <si>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</si>
  <si>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</si>
  <si>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</si>
  <si>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</si>
  <si>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</si>
  <si>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</si>
  <si>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</si>
  <si>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</si>
  <si>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</si>
  <si>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</si>
  <si>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</si>
  <si>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</si>
  <si>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</si>
  <si>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</si>
  <si>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</si>
  <si>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</si>
  <si>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</si>
  <si>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</si>
  <si>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</si>
  <si>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</si>
  <si>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</si>
  <si>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</si>
  <si>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</si>
  <si>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</si>
  <si>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</si>
  <si>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</si>
  <si>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</si>
  <si>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</si>
  <si>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</si>
  <si>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</si>
  <si>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</si>
  <si>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</si>
  <si>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</si>
  <si>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</si>
  <si>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</si>
  <si>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</si>
  <si>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</si>
  <si>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</si>
  <si>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</si>
  <si>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</si>
  <si>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</si>
  <si>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</si>
  <si>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</si>
  <si>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</si>
  <si>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</si>
  <si>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</si>
  <si>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</si>
  <si>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</si>
  <si>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</si>
  <si>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</si>
  <si>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</si>
  <si>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</si>
  <si>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</si>
  <si>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</si>
  <si>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</si>
  <si>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</si>
  <si>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</si>
  <si>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</si>
  <si>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</si>
  <si>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</si>
  <si>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</si>
  <si>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</si>
  <si>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</si>
  <si>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</si>
  <si>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</si>
  <si>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</si>
  <si>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</si>
  <si>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</si>
  <si>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</si>
  <si>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</si>
  <si>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</si>
  <si>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</si>
  <si>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</si>
  <si>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</si>
  <si>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</si>
  <si>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</si>
  <si>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</si>
  <si>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</si>
  <si>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</si>
  <si>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</si>
  <si>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</si>
  <si>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</si>
  <si>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</si>
  <si>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</si>
  <si>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</si>
  <si>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</si>
  <si>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</si>
  <si>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</si>
  <si>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</si>
  <si>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</si>
  <si>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</si>
  <si>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</si>
  <si>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</si>
  <si>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</si>
  <si>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</si>
  <si>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</si>
  <si>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</si>
  <si>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</si>
  <si>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</si>
  <si>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</si>
  <si>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</si>
  <si>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</si>
  <si>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</si>
  <si>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</si>
  <si>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</si>
  <si>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</si>
  <si>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</si>
  <si>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</si>
  <si>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</si>
  <si>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</si>
  <si>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</si>
  <si>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</si>
  <si>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</si>
  <si>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</si>
  <si>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</si>
  <si>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</si>
  <si>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</si>
  <si>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</si>
  <si>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</si>
  <si>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</si>
  <si>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</si>
  <si>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</si>
  <si>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</si>
  <si>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</si>
  <si>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</si>
  <si>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</si>
  <si>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</si>
  <si>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</si>
  <si>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</si>
  <si>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</si>
  <si>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</si>
  <si>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</si>
  <si>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</si>
  <si>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</si>
  <si>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</si>
  <si>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</si>
  <si>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</si>
  <si>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</si>
  <si>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</si>
  <si>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</si>
  <si>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</si>
  <si>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</si>
  <si>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</si>
  <si>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</si>
  <si>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</si>
  <si>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</si>
  <si>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</si>
  <si>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</si>
  <si>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</si>
  <si>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</si>
  <si>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</si>
  <si>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</si>
  <si>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</si>
  <si>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</si>
  <si>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</si>
  <si>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</si>
  <si>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</si>
  <si>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</si>
  <si>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</si>
  <si>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</si>
  <si>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</si>
  <si>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</si>
  <si>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</si>
  <si>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</si>
  <si>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</si>
  <si>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</si>
  <si>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</si>
  <si>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</si>
  <si>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</si>
  <si>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</si>
  <si>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</si>
  <si>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</si>
  <si>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</si>
  <si>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</si>
  <si>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</si>
  <si>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</si>
  <si>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</si>
  <si>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</si>
  <si>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</si>
  <si>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</si>
  <si>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</si>
  <si>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</si>
  <si>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</si>
  <si>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</si>
  <si>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</si>
  <si>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</si>
  <si>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</si>
  <si>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</si>
  <si>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</si>
  <si>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</si>
  <si>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</si>
  <si>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</si>
  <si>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</si>
  <si>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</si>
  <si>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</si>
  <si>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</si>
  <si>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</si>
  <si>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</si>
  <si>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</si>
  <si>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</si>
  <si>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</si>
  <si>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</si>
  <si>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</si>
  <si>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</si>
  <si>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</si>
  <si>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</si>
  <si>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</si>
  <si>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</si>
  <si>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</si>
  <si>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</si>
  <si>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</si>
  <si>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</si>
  <si>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</si>
  <si>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</si>
  <si>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</si>
  <si>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</si>
  <si>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</si>
  <si>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</si>
  <si>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</si>
  <si>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</si>
  <si>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</si>
  <si>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</si>
  <si>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</si>
  <si>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</si>
  <si>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</si>
  <si>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</si>
  <si>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</si>
  <si>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</si>
  <si>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</si>
  <si>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</si>
  <si>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</si>
  <si>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</si>
  <si>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</si>
  <si>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</si>
  <si>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</si>
  <si>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</si>
  <si>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</si>
  <si>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</si>
  <si>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</si>
  <si>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</si>
  <si>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</si>
  <si>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</si>
  <si>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</si>
  <si>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</si>
  <si>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</si>
  <si>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</si>
  <si>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</si>
  <si>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</si>
  <si>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</si>
  <si>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</si>
  <si>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</si>
  <si>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</si>
  <si>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</si>
  <si>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</si>
  <si>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</si>
  <si>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</si>
  <si>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</si>
  <si>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</si>
  <si>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</si>
  <si>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</si>
  <si>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</si>
  <si>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</si>
  <si>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</si>
  <si>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</si>
  <si>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</si>
  <si>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</si>
  <si>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</si>
  <si>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</si>
  <si>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</si>
  <si>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</si>
  <si>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</si>
  <si>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</si>
  <si>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</si>
  <si>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</si>
  <si>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</si>
  <si>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</si>
  <si>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</si>
  <si>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</si>
  <si>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</si>
  <si>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</si>
  <si>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</si>
  <si>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</si>
  <si>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</si>
  <si>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</si>
  <si>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</si>
  <si>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</si>
  <si>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</si>
  <si>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</si>
  <si>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</si>
  <si>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</si>
  <si>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</si>
  <si>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</si>
  <si>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</si>
  <si>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</si>
  <si>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</si>
  <si>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</si>
  <si>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</si>
  <si>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</si>
  <si>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</si>
  <si>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</si>
  <si>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</si>
  <si>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</si>
  <si>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</si>
  <si>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</si>
  <si>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</si>
  <si>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</si>
  <si>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</si>
  <si>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</si>
  <si>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</si>
  <si>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</si>
  <si>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</si>
  <si>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</si>
  <si>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</si>
  <si>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</si>
  <si>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</si>
  <si>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</si>
  <si>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</si>
  <si>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</si>
  <si>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</si>
  <si>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</si>
  <si>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</si>
  <si>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</si>
  <si>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</si>
  <si>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</si>
  <si>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</si>
  <si>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</si>
  <si>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</si>
  <si>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</si>
  <si>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</si>
  <si>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</si>
  <si>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</si>
  <si>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</si>
  <si>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</si>
  <si>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</si>
  <si>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</si>
  <si>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</si>
  <si>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</si>
  <si>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</si>
  <si>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</si>
  <si>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</si>
  <si>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</si>
  <si>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</si>
  <si>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</si>
  <si>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</si>
  <si>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</si>
  <si>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</si>
  <si>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</si>
  <si>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</si>
  <si>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</si>
  <si>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</si>
  <si>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</si>
  <si>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</si>
  <si>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</si>
  <si>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</si>
  <si>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</si>
  <si>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</si>
  <si>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</si>
  <si>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</si>
  <si>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</si>
  <si>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</si>
  <si>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</si>
  <si>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</si>
  <si>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</si>
  <si>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</si>
  <si>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</si>
  <si>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</si>
  <si>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</si>
  <si>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</si>
  <si>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</si>
  <si>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</si>
  <si>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</si>
  <si>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</si>
  <si>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</si>
  <si>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</si>
  <si>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</si>
  <si>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</si>
  <si>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</si>
  <si>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</si>
  <si>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</si>
  <si>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</si>
  <si>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</si>
  <si>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</si>
  <si>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</si>
  <si>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</si>
  <si>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</si>
  <si>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</si>
  <si>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</si>
  <si>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</si>
  <si>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</si>
  <si>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</si>
  <si>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</si>
  <si>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</si>
  <si>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</si>
  <si>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</si>
  <si>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</si>
  <si>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</si>
  <si>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</si>
  <si>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</si>
  <si>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</si>
  <si>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</si>
  <si>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</si>
  <si>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</si>
  <si>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</si>
  <si>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</si>
  <si>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</si>
  <si>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</si>
  <si>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</si>
  <si>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</si>
  <si>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</si>
  <si>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</si>
  <si>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</si>
  <si>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</si>
  <si>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</si>
  <si>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</si>
  <si>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</si>
  <si>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</si>
  <si>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</si>
  <si>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</si>
  <si>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</si>
  <si>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</si>
  <si>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</si>
  <si>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</si>
  <si>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</si>
  <si>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</si>
  <si>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</si>
  <si>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</si>
  <si>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</si>
  <si>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</si>
  <si>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</si>
  <si>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</si>
  <si>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</si>
  <si>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</si>
  <si>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</si>
  <si>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</si>
  <si>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</si>
  <si>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</si>
  <si>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</si>
  <si>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</si>
  <si>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</si>
  <si>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</si>
  <si>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</si>
  <si>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</si>
  <si>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</si>
  <si>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</si>
  <si>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</si>
  <si>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</si>
  <si>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</si>
  <si>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</si>
  <si>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</si>
  <si>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</si>
  <si>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</si>
  <si>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</si>
  <si>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</si>
  <si>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</si>
  <si>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</si>
  <si>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</si>
  <si>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</si>
  <si>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</si>
  <si>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</si>
  <si>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</si>
  <si>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</si>
  <si>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</si>
  <si>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</si>
  <si>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</si>
  <si>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</si>
  <si>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</si>
  <si>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</si>
  <si>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</si>
  <si>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</si>
  <si>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</si>
  <si>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</si>
  <si>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</si>
  <si>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</si>
  <si>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</si>
  <si>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</si>
  <si>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</si>
  <si>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</si>
  <si>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</si>
  <si>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</si>
  <si>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</si>
  <si>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</si>
  <si>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</si>
  <si>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</si>
  <si>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</si>
  <si>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</si>
  <si>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</si>
  <si>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</si>
  <si>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</si>
  <si>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</si>
  <si>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</si>
  <si>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</si>
  <si>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</si>
  <si>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</si>
  <si>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</si>
  <si>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</si>
  <si>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</si>
  <si>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</si>
  <si>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</si>
  <si>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</si>
  <si>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</si>
  <si>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</si>
  <si>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</si>
  <si>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</si>
  <si>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</si>
  <si>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</si>
  <si>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</si>
  <si>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</si>
  <si>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</si>
  <si>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</si>
  <si>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</si>
  <si>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</si>
  <si>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</si>
  <si>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</si>
  <si>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</si>
  <si>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</si>
  <si>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</si>
  <si>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</si>
  <si>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</si>
  <si>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</si>
  <si>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</si>
  <si>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</si>
  <si>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</si>
  <si>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</si>
  <si>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</si>
  <si>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</si>
  <si>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</si>
  <si>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</si>
  <si>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</si>
  <si>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</si>
  <si>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</si>
  <si>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</si>
  <si>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</si>
  <si>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</si>
  <si>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</si>
  <si>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</si>
  <si>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</si>
  <si>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</si>
  <si>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</si>
  <si>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</si>
  <si>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</si>
  <si>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</si>
  <si>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</si>
  <si>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</si>
  <si>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</si>
  <si>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</si>
  <si>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</si>
  <si>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</si>
  <si>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</si>
  <si>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</si>
  <si>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</si>
  <si>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</si>
  <si>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</si>
  <si>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</si>
  <si>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</si>
  <si>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</si>
  <si>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</si>
  <si>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</si>
  <si>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</si>
  <si>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</si>
  <si>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</si>
  <si>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</si>
  <si>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</si>
  <si>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</si>
  <si>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</si>
  <si>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</si>
  <si>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</si>
  <si>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</si>
  <si>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</si>
  <si>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</si>
  <si>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</si>
  <si>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</si>
  <si>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</si>
  <si>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</si>
  <si>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</si>
  <si>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</si>
  <si>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</si>
  <si>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</si>
  <si>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</si>
  <si>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</si>
  <si>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</si>
  <si>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</si>
  <si>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</si>
  <si>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</si>
  <si>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</si>
  <si>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</si>
  <si>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</si>
  <si>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</si>
  <si>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</si>
  <si>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</si>
  <si>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</si>
  <si>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</si>
  <si>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</si>
  <si>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</si>
  <si>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</si>
  <si>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</si>
  <si>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</si>
  <si>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</si>
  <si>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</si>
  <si>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</si>
  <si>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</si>
  <si>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</si>
  <si>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</si>
  <si>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</si>
  <si>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</si>
  <si>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</si>
  <si>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</si>
  <si>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</si>
  <si>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</si>
  <si>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</si>
  <si>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</si>
  <si>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</si>
  <si>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</si>
  <si>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</si>
  <si>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</si>
  <si>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</si>
  <si>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</si>
  <si>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</si>
  <si>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</si>
  <si>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</si>
  <si>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</si>
  <si>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</si>
  <si>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</si>
  <si>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</si>
  <si>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</si>
  <si>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</si>
  <si>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</si>
  <si>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</si>
  <si>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</si>
  <si>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</si>
  <si>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</si>
  <si>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</si>
  <si>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</si>
  <si>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</si>
  <si>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</si>
  <si>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</si>
  <si>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</si>
  <si>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</si>
  <si>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</si>
  <si>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</si>
  <si>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</si>
  <si>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</si>
  <si>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</si>
  <si>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</si>
  <si>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</si>
  <si>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</si>
  <si>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</si>
  <si>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</si>
  <si>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</si>
  <si>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</si>
  <si>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</si>
  <si>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</si>
  <si>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</si>
  <si>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</si>
  <si>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</si>
  <si>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</si>
  <si>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</si>
  <si>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</si>
  <si>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</si>
  <si>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</si>
  <si>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</si>
  <si>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</si>
  <si>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</si>
  <si>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</si>
  <si>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</si>
  <si>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</si>
  <si>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</si>
  <si>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</si>
  <si>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</si>
  <si>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</si>
  <si>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</si>
  <si>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</si>
  <si>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</si>
  <si>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</si>
  <si>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</si>
  <si>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</si>
  <si>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</si>
  <si>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</si>
  <si>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</si>
  <si>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</si>
  <si>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</si>
  <si>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</si>
  <si>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</si>
  <si>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</si>
  <si>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</si>
  <si>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</si>
  <si>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</si>
  <si>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</si>
  <si>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</si>
  <si>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</si>
  <si>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</si>
  <si>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</si>
  <si>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</si>
  <si>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</si>
  <si>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</si>
  <si>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</si>
  <si>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</si>
  <si>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</si>
  <si>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</si>
  <si>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</si>
  <si>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</si>
  <si>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</si>
  <si>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</si>
  <si>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</si>
  <si>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</si>
  <si>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</si>
  <si>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</si>
  <si>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</si>
  <si>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</si>
  <si>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</si>
  <si>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</si>
  <si>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</si>
  <si>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</si>
  <si>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</si>
  <si>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</si>
  <si>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</si>
  <si>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</si>
  <si>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</si>
  <si>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</si>
  <si>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</si>
  <si>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</si>
  <si>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</si>
  <si>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</si>
  <si>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</si>
  <si>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</si>
  <si>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</si>
  <si>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</si>
  <si>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</si>
  <si>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</si>
  <si>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</si>
  <si>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</si>
  <si>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</si>
  <si>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</si>
  <si>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</si>
  <si>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</si>
  <si>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</si>
  <si>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</si>
  <si>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</si>
  <si>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</si>
  <si>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</si>
  <si>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</si>
  <si>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</si>
  <si>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</si>
  <si>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</si>
  <si>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</si>
  <si>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</si>
  <si>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</si>
  <si>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</si>
  <si>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</si>
  <si>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</si>
  <si>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</si>
  <si>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</si>
  <si>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</si>
  <si>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</si>
  <si>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</si>
  <si>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</si>
  <si>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</si>
  <si>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</si>
  <si>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</si>
  <si>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</si>
  <si>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</si>
  <si>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</si>
  <si>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</si>
  <si>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</si>
  <si>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</si>
  <si>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</si>
  <si>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</si>
  <si>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</si>
  <si>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</si>
  <si>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</si>
  <si>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</si>
  <si>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</si>
  <si>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</si>
  <si>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</si>
  <si>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</si>
  <si>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</si>
  <si>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</si>
  <si>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</si>
  <si>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</si>
  <si>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</si>
  <si>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</si>
  <si>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</si>
  <si>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</si>
  <si>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</si>
  <si>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</si>
  <si>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</si>
  <si>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</si>
  <si>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</si>
  <si>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</si>
  <si>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</si>
  <si>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</si>
  <si>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</si>
  <si>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</si>
  <si>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</si>
  <si>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</si>
  <si>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</si>
  <si>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</si>
  <si>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</si>
  <si>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</si>
  <si>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</si>
  <si>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</si>
  <si>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</si>
  <si>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</si>
  <si>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</si>
  <si>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</si>
  <si>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</si>
  <si>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</si>
  <si>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</si>
  <si>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</si>
  <si>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</si>
  <si>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</si>
  <si>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</si>
  <si>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</si>
  <si>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</si>
  <si>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</si>
  <si>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</si>
  <si>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</si>
  <si>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</si>
  <si>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</si>
  <si>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</si>
  <si>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</si>
  <si>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</si>
  <si>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</si>
  <si>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</si>
  <si>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</si>
  <si>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</si>
  <si>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</si>
  <si>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</si>
  <si>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</si>
  <si>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</si>
  <si>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</si>
  <si>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</si>
  <si>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</si>
  <si>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</si>
  <si>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</si>
  <si>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</si>
  <si>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</si>
  <si>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</si>
  <si>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</si>
  <si>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</si>
  <si>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</si>
  <si>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</si>
  <si>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</si>
  <si>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</si>
  <si>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</si>
  <si>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</si>
  <si>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</si>
  <si>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</si>
  <si>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</si>
  <si>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</si>
  <si>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</si>
  <si>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</si>
  <si>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</si>
  <si>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</si>
  <si>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</si>
  <si>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</si>
  <si>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</si>
  <si>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</si>
  <si>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</si>
  <si>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</si>
  <si>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</si>
  <si>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</si>
  <si>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</si>
  <si>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</si>
  <si>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</si>
  <si>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</si>
  <si>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</si>
  <si>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</si>
  <si>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</si>
  <si>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</si>
  <si>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</si>
  <si>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</si>
  <si>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</si>
  <si>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</si>
  <si>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</si>
  <si>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</si>
  <si>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</si>
  <si>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</si>
  <si>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</si>
  <si>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</si>
  <si>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</si>
  <si>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</si>
  <si>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</si>
  <si>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</si>
  <si>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</si>
  <si>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</si>
  <si>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</si>
  <si>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</si>
  <si>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</si>
  <si>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</si>
  <si>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</si>
  <si>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</si>
  <si>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</si>
  <si>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</si>
  <si>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</si>
  <si>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</si>
  <si>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</si>
  <si>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</si>
  <si>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</si>
  <si>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</si>
  <si>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</si>
  <si>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</si>
  <si>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</si>
  <si>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</si>
  <si>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</si>
  <si>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</si>
  <si>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</si>
  <si>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</si>
  <si>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</si>
  <si>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</si>
  <si>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</si>
  <si>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</si>
  <si>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</si>
  <si>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</si>
  <si>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</si>
  <si>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</si>
  <si>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</si>
  <si>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</si>
  <si>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</si>
  <si>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</si>
  <si>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</si>
  <si>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</si>
  <si>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</si>
  <si>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</si>
  <si>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</si>
  <si>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</si>
  <si>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</si>
  <si>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</si>
  <si>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</si>
  <si>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</si>
  <si>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</si>
  <si>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</si>
  <si>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</si>
  <si>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</si>
  <si>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</si>
  <si>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</si>
  <si>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</si>
  <si>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</si>
  <si>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</si>
  <si>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</si>
  <si>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</si>
  <si>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</si>
  <si>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</si>
  <si>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</si>
  <si>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</si>
  <si>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</si>
  <si>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</si>
  <si>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</si>
  <si>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</si>
  <si>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</si>
  <si>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</si>
  <si>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</si>
  <si>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</si>
  <si>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</si>
  <si>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</si>
  <si>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</si>
  <si>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</si>
  <si>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</si>
  <si>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</si>
  <si>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</si>
  <si>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</si>
  <si>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</si>
  <si>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</si>
  <si>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</si>
  <si>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</si>
  <si>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</si>
  <si>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</si>
  <si>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</si>
  <si>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</si>
  <si>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</si>
  <si>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</si>
  <si>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</si>
  <si>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</si>
  <si>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</si>
  <si>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</si>
  <si>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</si>
  <si>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</si>
  <si>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</si>
  <si>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</si>
  <si>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</si>
  <si>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</si>
  <si>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</si>
  <si>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</si>
  <si>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</si>
  <si>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</si>
  <si>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</si>
  <si>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</si>
  <si>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</si>
  <si>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</si>
  <si>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</si>
  <si>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</si>
  <si>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</si>
  <si>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</si>
  <si>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</si>
  <si>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</si>
  <si>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</si>
  <si>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</si>
  <si>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</si>
  <si>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</si>
  <si>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</si>
  <si>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</si>
  <si>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</si>
  <si>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</si>
  <si>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</si>
  <si>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</si>
  <si>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</si>
  <si>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</si>
  <si>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</si>
  <si>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</si>
  <si>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</si>
  <si>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</si>
  <si>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</si>
  <si>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</si>
  <si>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</si>
  <si>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</si>
  <si>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</si>
  <si>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</si>
  <si>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</si>
  <si>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</si>
  <si>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</si>
  <si>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</si>
  <si>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</si>
  <si>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</si>
  <si>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</si>
  <si>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</si>
  <si>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</si>
  <si>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</si>
  <si>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</si>
  <si>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</si>
  <si>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</si>
  <si>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</si>
  <si>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</si>
  <si>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</si>
  <si>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</si>
  <si>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</si>
  <si>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</si>
  <si>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</si>
  <si>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</si>
  <si>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</si>
  <si>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</si>
  <si>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</si>
  <si>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</si>
  <si>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</si>
  <si>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</si>
  <si>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</si>
  <si>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</si>
  <si>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</si>
  <si>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</si>
  <si>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</si>
  <si>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</si>
  <si>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</si>
  <si>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</si>
  <si>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</si>
  <si>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</si>
  <si>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</si>
  <si>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</si>
  <si>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</si>
  <si>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</si>
  <si>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</si>
  <si>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</si>
  <si>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</si>
  <si>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</si>
  <si>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</si>
  <si>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</si>
  <si>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</si>
  <si>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</si>
  <si>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</si>
  <si>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</si>
  <si>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</si>
  <si>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</si>
  <si>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</si>
  <si>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</si>
  <si>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</si>
  <si>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</si>
  <si>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</si>
  <si>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</si>
  <si>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</si>
  <si>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</si>
  <si>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</si>
  <si>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</si>
  <si>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</si>
  <si>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</si>
  <si>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</si>
  <si>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</si>
  <si>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</si>
  <si>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</si>
  <si>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</si>
  <si>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</si>
  <si>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</si>
  <si>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</si>
  <si>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</si>
  <si>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</si>
  <si>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</si>
  <si>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</si>
  <si>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</si>
  <si>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</si>
  <si>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</si>
  <si>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</si>
  <si>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</si>
  <si>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</si>
  <si>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</si>
  <si>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</si>
  <si>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</si>
  <si>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</si>
  <si>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</si>
  <si>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</si>
  <si>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</si>
  <si>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</si>
  <si>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</si>
  <si>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</si>
  <si>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</si>
  <si>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</si>
  <si>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</si>
  <si>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</si>
  <si>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</si>
  <si>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</si>
  <si>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</si>
  <si>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</si>
  <si>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</si>
  <si>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</si>
  <si>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</si>
  <si>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</si>
  <si>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</si>
  <si>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</si>
  <si>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</si>
  <si>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</si>
  <si>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</si>
  <si>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</si>
  <si>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</si>
  <si>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</si>
  <si>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</si>
  <si>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</si>
  <si>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</si>
  <si>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</si>
  <si>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</si>
  <si>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</si>
  <si>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</si>
  <si>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</si>
  <si>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</si>
  <si>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</si>
  <si>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</si>
  <si>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</si>
  <si>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</si>
  <si>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</si>
  <si>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</si>
  <si>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</si>
  <si>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</si>
  <si>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</si>
  <si>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</si>
  <si>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</si>
  <si>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</si>
  <si>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</si>
  <si>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</si>
  <si>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</si>
  <si>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</si>
  <si>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</si>
  <si>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</si>
  <si>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</si>
  <si>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</si>
  <si>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</si>
  <si>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</si>
  <si>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</si>
  <si>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</si>
  <si>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</si>
  <si>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</si>
  <si>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</si>
  <si>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</si>
  <si>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</si>
  <si>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</si>
  <si>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</si>
  <si>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</si>
  <si>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</si>
  <si>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</si>
  <si>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</si>
  <si>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</si>
  <si>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</si>
  <si>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</si>
  <si>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</si>
  <si>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</si>
  <si>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</si>
  <si>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</si>
  <si>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</si>
  <si>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</si>
  <si>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</si>
  <si>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</si>
  <si>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</si>
  <si>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</si>
  <si>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</si>
  <si>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</si>
  <si>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</si>
  <si>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</si>
  <si>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</si>
  <si>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</si>
  <si>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</si>
  <si>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</si>
  <si>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</si>
  <si>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</si>
  <si>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</si>
  <si>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</si>
  <si>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</si>
  <si>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</si>
  <si>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</si>
  <si>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</si>
  <si>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</si>
  <si>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</si>
  <si>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</si>
  <si>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</si>
  <si>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</si>
  <si>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</si>
  <si>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</si>
  <si>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</si>
  <si>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</si>
  <si>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</si>
  <si>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</si>
  <si>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</si>
  <si>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</si>
  <si>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</si>
  <si>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</si>
  <si>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</si>
  <si>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</si>
  <si>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</si>
  <si>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</si>
  <si>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</si>
  <si>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</si>
  <si>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</si>
  <si>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</si>
  <si>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</si>
  <si>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</si>
  <si>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</si>
  <si>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</si>
  <si>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</si>
  <si>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</si>
  <si>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</si>
  <si>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</si>
  <si>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</si>
  <si>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</si>
  <si>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</si>
  <si>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</si>
  <si>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</si>
  <si>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</si>
  <si>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</si>
  <si>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</si>
  <si>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</si>
  <si>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</si>
  <si>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</si>
  <si>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</si>
  <si>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</si>
  <si>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</si>
  <si>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</si>
  <si>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</si>
  <si>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</si>
  <si>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</si>
  <si>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</si>
  <si>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</si>
  <si>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</si>
  <si>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</si>
  <si>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</si>
  <si>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</si>
  <si>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</si>
  <si>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</si>
  <si>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</si>
  <si>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</si>
  <si>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</si>
  <si>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</si>
  <si>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</si>
  <si>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</si>
  <si>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</si>
  <si>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</si>
  <si>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</si>
  <si>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</si>
  <si>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</si>
  <si>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</si>
  <si>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</si>
  <si>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</si>
  <si>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</si>
  <si>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</si>
  <si>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</si>
  <si>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</si>
  <si>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</si>
  <si>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</si>
  <si>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</si>
  <si>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</si>
  <si>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</si>
  <si>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</si>
  <si>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</si>
  <si>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</si>
  <si>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</si>
  <si>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</si>
  <si>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</si>
  <si>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</si>
  <si>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</si>
  <si>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</si>
  <si>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</si>
  <si>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</si>
  <si>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</si>
  <si>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</si>
  <si>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</si>
  <si>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</si>
  <si>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</si>
  <si>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</si>
  <si>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</si>
  <si>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</si>
  <si>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</si>
  <si>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</si>
  <si>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</si>
  <si>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</si>
  <si>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</si>
  <si>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</si>
  <si>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</si>
  <si>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</si>
  <si>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</si>
  <si>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</si>
  <si>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</si>
  <si>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</si>
  <si>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</si>
  <si>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</si>
  <si>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</si>
  <si>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</si>
  <si>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</si>
  <si>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</si>
  <si>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</si>
  <si>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</si>
  <si>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</si>
  <si>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</si>
  <si>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</si>
  <si>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</si>
  <si>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</si>
  <si>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</si>
  <si>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</si>
  <si>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</si>
  <si>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</si>
  <si>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</si>
  <si>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</si>
  <si>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</si>
  <si>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</si>
  <si>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</si>
  <si>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</si>
  <si>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</si>
  <si>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</si>
  <si>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</si>
  <si>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</si>
  <si>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</si>
  <si>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</si>
  <si>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</si>
  <si>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</si>
  <si>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</si>
  <si>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</si>
  <si>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</si>
  <si>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</si>
  <si>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</si>
  <si>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</si>
  <si>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</si>
  <si>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</si>
  <si>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</si>
  <si>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</si>
  <si>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</si>
  <si>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</si>
  <si>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</si>
  <si>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</si>
  <si>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</si>
  <si>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</si>
  <si>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</si>
  <si>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</si>
  <si>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</si>
  <si>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</si>
  <si>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</si>
  <si>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</si>
  <si>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</si>
  <si>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</si>
  <si>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</si>
  <si>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</si>
  <si>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</si>
  <si>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</si>
  <si>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</si>
  <si>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</si>
  <si>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</si>
  <si>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</si>
  <si>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</si>
  <si>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</si>
  <si>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</si>
  <si>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</si>
  <si>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</si>
  <si>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</si>
  <si>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</si>
  <si>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</si>
  <si>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</si>
  <si>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</si>
  <si>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</si>
  <si>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</si>
  <si>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</si>
  <si>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</si>
  <si>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</si>
  <si>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</si>
  <si>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</si>
  <si>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</si>
  <si>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</si>
  <si>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</si>
  <si>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</si>
  <si>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</si>
  <si>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</si>
  <si>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</si>
  <si>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</si>
  <si>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</si>
  <si>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</si>
  <si>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</si>
  <si>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</si>
  <si>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</si>
  <si>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</si>
  <si>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</si>
  <si>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</si>
  <si>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</si>
  <si>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</si>
  <si>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</si>
  <si>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</si>
  <si>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</si>
  <si>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</si>
  <si>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</si>
  <si>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</si>
  <si>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</si>
  <si>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</si>
  <si>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</si>
  <si>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</si>
  <si>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</si>
  <si>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</si>
  <si>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</si>
  <si>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</si>
  <si>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</si>
  <si>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</si>
  <si>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</si>
  <si>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</si>
  <si>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</si>
  <si>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</si>
  <si>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</si>
  <si>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</si>
  <si>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</si>
  <si>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</si>
  <si>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</si>
  <si>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</si>
  <si>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</si>
  <si>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</si>
  <si>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</si>
  <si>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</si>
  <si>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</si>
  <si>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</si>
  <si>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</si>
  <si>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</si>
  <si>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</si>
  <si>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</si>
  <si>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</si>
  <si>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</si>
  <si>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</si>
  <si>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</si>
  <si>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</si>
  <si>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</si>
  <si>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</si>
  <si>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</si>
  <si>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</si>
  <si>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</si>
  <si>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</si>
  <si>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</si>
  <si>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</si>
  <si>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</si>
  <si>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</si>
  <si>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</si>
  <si>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</si>
  <si>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</si>
  <si>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</si>
  <si>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</si>
  <si>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</si>
  <si>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</si>
  <si>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</si>
  <si>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</si>
  <si>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</si>
  <si>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</si>
  <si>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</si>
  <si>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</si>
  <si>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</si>
  <si>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</si>
  <si>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</si>
  <si>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</si>
  <si>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</si>
  <si>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</si>
  <si>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</si>
  <si>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</si>
  <si>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</si>
  <si>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</si>
  <si>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</si>
  <si>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</si>
  <si>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</si>
  <si>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</si>
  <si>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</si>
  <si>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</si>
  <si>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</si>
  <si>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</si>
  <si>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</si>
  <si>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</si>
  <si>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</si>
  <si>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</si>
  <si>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</si>
  <si>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</si>
  <si>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</si>
  <si>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</si>
  <si>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</si>
  <si>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</si>
  <si>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</si>
  <si>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</si>
  <si>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</si>
  <si>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</si>
  <si>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</si>
  <si>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</si>
  <si>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</si>
  <si>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</si>
  <si>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</si>
  <si>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</si>
  <si>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</si>
  <si>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</si>
  <si>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</si>
  <si>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</si>
  <si>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</si>
  <si>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</si>
  <si>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</si>
  <si>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</si>
  <si>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</si>
  <si>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</si>
  <si>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</si>
  <si>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</si>
  <si>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</si>
  <si>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</si>
  <si>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</si>
  <si>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</si>
  <si>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</si>
  <si>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</si>
  <si>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</si>
  <si>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</si>
  <si>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</si>
  <si>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</si>
  <si>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</si>
  <si>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</si>
  <si>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</si>
  <si>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</si>
  <si>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</si>
  <si>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</si>
  <si>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</si>
  <si>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</si>
  <si>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</si>
  <si>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</si>
  <si>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</si>
  <si>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</si>
  <si>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</si>
  <si>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</si>
  <si>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</si>
  <si>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</si>
  <si>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</si>
  <si>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</si>
  <si>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</si>
  <si>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</si>
  <si>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</si>
  <si>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</si>
  <si>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</si>
  <si>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</si>
  <si>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</si>
  <si>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</si>
  <si>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</si>
  <si>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</si>
  <si>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</si>
  <si>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</si>
  <si>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</si>
  <si>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</si>
  <si>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</si>
  <si>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</si>
  <si>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</si>
  <si>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</si>
  <si>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</si>
  <si>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</si>
  <si>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</si>
  <si>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</si>
  <si>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</si>
  <si>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</si>
  <si>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</si>
  <si>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</si>
  <si>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</si>
  <si>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</si>
  <si>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</si>
  <si>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</si>
  <si>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</si>
  <si>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</si>
  <si>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</si>
  <si>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</si>
  <si>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</si>
  <si>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</si>
  <si>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</si>
  <si>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</si>
  <si>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</si>
  <si>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</si>
  <si>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</si>
  <si>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</si>
  <si>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</si>
  <si>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</si>
  <si>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</si>
  <si>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</si>
  <si>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</si>
  <si>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</si>
  <si>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</si>
  <si>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</si>
  <si>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</si>
  <si>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</si>
  <si>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</si>
  <si>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</si>
  <si>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</si>
  <si>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</si>
  <si>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</si>
  <si>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</si>
  <si>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</si>
  <si>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</si>
  <si>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</si>
  <si>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</si>
  <si>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</si>
  <si>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</si>
  <si>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</si>
  <si>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</si>
  <si>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</si>
  <si>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</si>
  <si>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</si>
  <si>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</si>
  <si>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</si>
  <si>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</si>
  <si>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</si>
  <si>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</si>
  <si>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</si>
  <si>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</si>
  <si>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</si>
  <si>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</si>
  <si>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</si>
  <si>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</si>
  <si>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</si>
  <si>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</si>
  <si>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</si>
  <si>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</si>
  <si>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</si>
  <si>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</si>
  <si>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</si>
  <si>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</si>
  <si>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</si>
  <si>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</si>
  <si>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</si>
  <si>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</si>
  <si>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</si>
  <si>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</si>
  <si>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</si>
  <si>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</si>
  <si>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</si>
  <si>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</si>
  <si>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</si>
  <si>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</si>
  <si>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</si>
  <si>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</si>
  <si>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</si>
  <si>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</si>
  <si>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</si>
  <si>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</si>
  <si>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</si>
  <si>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</si>
  <si>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</si>
  <si>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</si>
  <si>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</si>
  <si>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</si>
  <si>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</si>
  <si>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</si>
  <si>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</si>
  <si>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</si>
  <si>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</si>
  <si>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</si>
  <si>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</si>
  <si>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</si>
  <si>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</si>
  <si>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</si>
  <si>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</si>
  <si>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</si>
  <si>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</si>
  <si>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</si>
  <si>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</si>
  <si>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</si>
  <si>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</si>
  <si>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</si>
  <si>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</si>
  <si>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</si>
  <si>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</si>
  <si>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</si>
  <si>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</si>
  <si>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</si>
  <si>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</si>
  <si>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</si>
  <si>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</si>
  <si>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</si>
  <si>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</si>
  <si>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</si>
  <si>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</si>
  <si>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</si>
  <si>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</si>
  <si>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</si>
  <si>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</si>
  <si>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</si>
  <si>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</si>
  <si>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</si>
  <si>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</si>
  <si>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</si>
  <si>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</si>
  <si>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</si>
  <si>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</si>
  <si>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</si>
  <si>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</si>
  <si>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</si>
  <si>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</si>
  <si>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</si>
  <si>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</si>
  <si>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</si>
  <si>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</si>
  <si>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</si>
  <si>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</si>
  <si>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</si>
  <si>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</si>
  <si>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</si>
  <si>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</si>
  <si>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</si>
  <si>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</si>
  <si>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</si>
  <si>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</si>
  <si>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</si>
  <si>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</si>
  <si>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</si>
  <si>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</si>
  <si>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</si>
  <si>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</si>
  <si>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</si>
  <si>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</si>
  <si>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</si>
  <si>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</si>
  <si>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</si>
  <si>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</si>
  <si>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</si>
  <si>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</si>
  <si>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</si>
  <si>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</si>
  <si>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</si>
  <si>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</si>
  <si>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</si>
  <si>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</si>
  <si>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</si>
  <si>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</si>
  <si>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</si>
  <si>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</si>
  <si>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</si>
  <si>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</si>
  <si>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</si>
  <si>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</si>
  <si>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</si>
  <si>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</si>
  <si>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</si>
  <si>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</si>
  <si>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</si>
  <si>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</si>
  <si>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</si>
  <si>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</si>
  <si>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</si>
  <si>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</si>
  <si>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</si>
  <si>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</si>
  <si>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</si>
  <si>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</si>
  <si>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</si>
  <si>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</si>
  <si>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</si>
  <si>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</si>
  <si>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</si>
  <si>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</si>
  <si>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</si>
  <si>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</si>
  <si>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</si>
  <si>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</si>
  <si>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</si>
  <si>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</si>
  <si>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</si>
  <si>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</si>
  <si>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</si>
  <si>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</si>
  <si>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</si>
  <si>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</si>
  <si>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</si>
  <si>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</si>
  <si>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</si>
  <si>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</si>
  <si>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</si>
  <si>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</si>
  <si>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</si>
  <si>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</si>
  <si>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</si>
  <si>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</si>
  <si>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</si>
  <si>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</si>
  <si>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</si>
  <si>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</si>
  <si>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</si>
  <si>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</si>
  <si>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</si>
  <si>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</si>
  <si>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</si>
  <si>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</si>
  <si>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</si>
  <si>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</si>
  <si>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</si>
  <si>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</si>
  <si>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</si>
  <si>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</si>
  <si>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</si>
  <si>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</si>
  <si>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</si>
  <si>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</si>
  <si>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</si>
  <si>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</si>
  <si>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</si>
  <si>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</si>
  <si>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</si>
  <si>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</si>
  <si>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</si>
  <si>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</si>
  <si>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</si>
  <si>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</si>
  <si>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</si>
  <si>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</si>
  <si>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</si>
  <si>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</si>
  <si>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</si>
  <si>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</si>
  <si>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</si>
  <si>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</si>
  <si>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</si>
  <si>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</si>
  <si>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</si>
  <si>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</si>
  <si>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</si>
  <si>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</si>
  <si>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</si>
  <si>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</si>
  <si>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</si>
  <si>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</si>
  <si>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</si>
  <si>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</si>
  <si>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</si>
  <si>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</si>
  <si>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</si>
  <si>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</si>
  <si>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</si>
  <si>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</si>
  <si>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</si>
  <si>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</si>
  <si>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</si>
  <si>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</si>
  <si>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</si>
  <si>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</si>
  <si>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</si>
  <si>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</si>
  <si>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</si>
  <si>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</si>
  <si>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</si>
  <si>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</si>
  <si>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</si>
  <si>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</si>
  <si>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</si>
  <si>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</si>
  <si>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</si>
  <si>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</si>
  <si>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</si>
  <si>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</si>
  <si>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</si>
  <si>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</si>
  <si>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</si>
  <si>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</si>
  <si>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</si>
  <si>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</si>
  <si>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</si>
  <si>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</si>
  <si>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</si>
  <si>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</si>
  <si>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</si>
  <si>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</si>
  <si>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</si>
  <si>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</si>
  <si>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</si>
  <si>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</si>
  <si>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</si>
  <si>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</si>
  <si>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</si>
  <si>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</si>
  <si>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</si>
  <si>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</si>
  <si>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</si>
  <si>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</si>
  <si>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</si>
  <si>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</si>
  <si>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</si>
  <si>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</si>
  <si>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</si>
  <si>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</si>
  <si>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</si>
  <si>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</si>
  <si>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</si>
  <si>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</si>
  <si>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</si>
  <si>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</si>
  <si>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</si>
  <si>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</si>
  <si>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</si>
  <si>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</si>
  <si>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</si>
  <si>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</si>
  <si>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</si>
  <si>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</si>
  <si>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</si>
  <si>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</si>
  <si>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</si>
  <si>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</si>
  <si>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</si>
  <si>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</si>
  <si>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</si>
  <si>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</si>
  <si>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</si>
  <si>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</si>
  <si>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</si>
  <si>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</si>
  <si>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</si>
  <si>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</si>
  <si>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</si>
  <si>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</si>
  <si>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</si>
  <si>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</si>
  <si>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</si>
  <si>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</si>
  <si>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</si>
  <si>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</si>
  <si>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</si>
  <si>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</si>
  <si>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</si>
  <si>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</si>
  <si>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</si>
  <si>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</si>
  <si>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</si>
  <si>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</si>
  <si>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</si>
  <si>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</si>
  <si>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</si>
  <si>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</si>
  <si>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</si>
  <si>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</si>
  <si>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</si>
  <si>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</si>
  <si>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</si>
  <si>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</si>
  <si>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</si>
  <si>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</si>
  <si>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</si>
  <si>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</si>
  <si>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</si>
  <si>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</si>
  <si>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</si>
  <si>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</si>
  <si>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</si>
  <si>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</si>
  <si>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</si>
  <si>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</si>
  <si>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</si>
  <si>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</si>
  <si>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</si>
  <si>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</si>
  <si>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</si>
  <si>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</si>
  <si>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</si>
  <si>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</si>
  <si>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</si>
  <si>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</si>
  <si>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</si>
  <si>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</si>
  <si>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</si>
  <si>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</si>
  <si>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</si>
  <si>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</si>
  <si>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</si>
  <si>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</si>
  <si>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</si>
  <si>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</si>
  <si>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</si>
  <si>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</si>
  <si>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</si>
  <si>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</si>
  <si>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</si>
  <si>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</si>
  <si>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</si>
  <si>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</si>
  <si>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</si>
  <si>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</si>
  <si>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</si>
  <si>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</si>
  <si>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</si>
  <si>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</si>
  <si>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</si>
  <si>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</si>
  <si>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</si>
  <si>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</si>
  <si>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</si>
  <si>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</si>
  <si>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</si>
  <si>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</si>
  <si>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</si>
  <si>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</si>
  <si>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</si>
  <si>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</si>
  <si>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</si>
  <si>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</si>
  <si>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</si>
  <si>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</si>
  <si>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</si>
  <si>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</si>
  <si>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</si>
  <si>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</si>
  <si>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</si>
  <si>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</si>
  <si>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</si>
  <si>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</si>
  <si>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</si>
  <si>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</si>
  <si>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</si>
  <si>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</si>
  <si>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</si>
  <si>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</si>
  <si>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</si>
  <si>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</si>
  <si>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</si>
  <si>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</si>
  <si>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</si>
  <si>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</si>
  <si>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</si>
  <si>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</si>
  <si>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</si>
  <si>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</si>
  <si>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</si>
  <si>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</si>
  <si>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</si>
  <si>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</si>
  <si>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</si>
  <si>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</si>
  <si>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</si>
  <si>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</si>
  <si>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</si>
  <si>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</si>
  <si>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</si>
  <si>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</si>
  <si>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</si>
  <si>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</si>
  <si>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</si>
  <si>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</si>
  <si>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</si>
  <si>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</si>
  <si>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</si>
  <si>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</si>
  <si>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</si>
  <si>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</si>
  <si>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</si>
  <si>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</si>
  <si>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</si>
  <si>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</si>
  <si>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</si>
  <si>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</si>
  <si>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</si>
  <si>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</si>
  <si>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</si>
  <si>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</si>
  <si>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</si>
  <si>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</si>
  <si>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</si>
  <si>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</si>
  <si>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</si>
  <si>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</si>
  <si>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</si>
  <si>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</si>
  <si>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</si>
  <si>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</si>
  <si>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</si>
  <si>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</si>
  <si>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</si>
  <si>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</si>
  <si>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</si>
  <si>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</si>
  <si>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</si>
  <si>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</si>
  <si>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</si>
  <si>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</si>
  <si>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</si>
  <si>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</si>
  <si>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</si>
  <si>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</si>
  <si>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</si>
  <si>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</si>
  <si>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</si>
  <si>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</si>
  <si>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</si>
  <si>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</si>
  <si>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</si>
  <si>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</si>
  <si>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</si>
  <si>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</si>
  <si>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</si>
  <si>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</si>
  <si>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</si>
  <si>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</si>
  <si>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</si>
  <si>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</si>
  <si>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</si>
  <si>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</si>
  <si>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</si>
  <si>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</si>
  <si>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</si>
  <si>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</si>
  <si>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</si>
  <si>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</si>
  <si>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</si>
  <si>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</si>
  <si>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</si>
  <si>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</si>
  <si>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</si>
  <si>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</si>
  <si>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</si>
  <si>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</si>
  <si>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</si>
  <si>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</si>
  <si>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</si>
  <si>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</si>
  <si>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</si>
  <si>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</si>
  <si>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</si>
  <si>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</si>
  <si>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</si>
  <si>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</si>
  <si>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</si>
  <si>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</si>
  <si>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</si>
  <si>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</si>
  <si>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</si>
  <si>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</si>
  <si>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</si>
  <si>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</si>
  <si>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</si>
  <si>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</si>
  <si>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</si>
  <si>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</si>
  <si>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</si>
  <si>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</si>
  <si>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</si>
  <si>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</si>
  <si>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</si>
  <si>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</si>
  <si>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</si>
  <si>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</si>
  <si>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</si>
  <si>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</si>
  <si>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</si>
  <si>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</si>
  <si>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</si>
  <si>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</si>
  <si>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</si>
  <si>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</si>
  <si>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</si>
  <si>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</si>
  <si>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</si>
  <si>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</si>
  <si>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</si>
  <si>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</si>
  <si>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</si>
  <si>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</si>
  <si>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</si>
  <si>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</si>
  <si>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</si>
  <si>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</si>
  <si>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</si>
  <si>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</si>
  <si>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</si>
  <si>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</si>
  <si>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</si>
  <si>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</si>
  <si>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</si>
  <si>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</si>
  <si>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</si>
  <si>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</si>
  <si>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</si>
  <si>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</si>
  <si>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</si>
  <si>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</si>
  <si>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</si>
  <si>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</si>
  <si>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</si>
  <si>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</si>
  <si>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</si>
  <si>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</si>
  <si>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</si>
  <si>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</si>
  <si>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</si>
  <si>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</si>
  <si>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</si>
  <si>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</si>
  <si>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</si>
  <si>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</si>
  <si>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</si>
  <si>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</si>
  <si>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</si>
  <si>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</si>
  <si>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</si>
  <si>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</si>
  <si>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</si>
  <si>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</si>
  <si>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</si>
  <si>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</si>
  <si>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</si>
  <si>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</si>
  <si>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</si>
  <si>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</si>
  <si>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</si>
  <si>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</si>
  <si>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</si>
  <si>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</si>
  <si>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</si>
  <si>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</si>
  <si>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</si>
  <si>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</si>
  <si>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</si>
  <si>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</si>
  <si>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</si>
  <si>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</si>
  <si>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</si>
  <si>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</si>
  <si>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</si>
  <si>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</si>
  <si>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</si>
  <si>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</si>
  <si>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</si>
  <si>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</si>
  <si>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</si>
  <si>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</si>
  <si>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</si>
  <si>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</si>
  <si>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</si>
  <si>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</si>
  <si>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</si>
  <si>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</si>
  <si>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</si>
  <si>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</si>
  <si>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</si>
  <si>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</si>
  <si>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</si>
  <si>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</si>
  <si>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</si>
  <si>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</si>
  <si>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</si>
  <si>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</si>
  <si>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</si>
  <si>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</si>
  <si>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</si>
  <si>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</si>
  <si>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</si>
  <si>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</si>
  <si>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</si>
  <si>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</si>
  <si>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</si>
  <si>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</si>
  <si>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</si>
  <si>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</si>
  <si>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</si>
  <si>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</si>
  <si>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</si>
  <si>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</si>
  <si>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</si>
  <si>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</si>
  <si>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</si>
  <si>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</si>
  <si>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</si>
  <si>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</si>
  <si>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</si>
  <si>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</si>
  <si>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</si>
  <si>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</si>
  <si>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</si>
  <si>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</si>
  <si>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</si>
  <si>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</si>
  <si>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</si>
  <si>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</si>
  <si>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</si>
  <si>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</si>
  <si>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</si>
  <si>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</si>
  <si>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</si>
  <si>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</si>
  <si>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</si>
  <si>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</si>
  <si>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</si>
  <si>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</si>
  <si>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</si>
  <si>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</si>
  <si>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</si>
  <si>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</si>
  <si>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</si>
  <si>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</si>
  <si>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</si>
  <si>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</si>
  <si>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</si>
  <si>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</si>
  <si>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</si>
  <si>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</si>
  <si>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</si>
  <si>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</si>
  <si>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</si>
  <si>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</si>
  <si>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</si>
  <si>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</si>
  <si>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</si>
  <si>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</si>
  <si>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</si>
  <si>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</si>
  <si>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</si>
  <si>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</si>
  <si>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</si>
  <si>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</si>
  <si>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</si>
  <si>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</si>
  <si>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</si>
  <si>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</si>
  <si>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</si>
  <si>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</si>
  <si>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</si>
  <si>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</si>
  <si>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</si>
  <si>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</si>
  <si>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</si>
  <si>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</si>
  <si>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</si>
  <si>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</si>
  <si>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</si>
  <si>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</si>
  <si>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</si>
  <si>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</si>
  <si>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</si>
  <si>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</si>
  <si>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</si>
  <si>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</si>
  <si>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</si>
  <si>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</si>
  <si>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</si>
  <si>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</si>
  <si>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</si>
  <si>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</si>
  <si>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</si>
  <si>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</si>
  <si>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</si>
  <si>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</si>
  <si>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</si>
  <si>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</si>
  <si>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</si>
  <si>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</si>
  <si>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</si>
  <si>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</si>
  <si>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</si>
  <si>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</si>
  <si>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</si>
  <si>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</si>
  <si>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</si>
  <si>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</si>
  <si>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</si>
  <si>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</si>
  <si>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</si>
  <si>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</si>
  <si>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</si>
  <si>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</si>
  <si>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</si>
  <si>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</si>
  <si>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</si>
  <si>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</si>
  <si>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</si>
  <si>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</si>
  <si>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</si>
  <si>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</si>
  <si>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</si>
  <si>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</si>
  <si>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</si>
  <si>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</si>
  <si>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</si>
  <si>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</si>
  <si>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</si>
  <si>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</si>
  <si>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</si>
  <si>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</si>
  <si>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</si>
  <si>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</si>
  <si>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</si>
  <si>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</si>
  <si>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</si>
  <si>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</si>
  <si>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</si>
  <si>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</si>
  <si>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</si>
  <si>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</si>
  <si>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</si>
  <si>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</si>
  <si>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</si>
  <si>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</si>
  <si>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</si>
  <si>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</si>
  <si>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</si>
  <si>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</si>
  <si>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</si>
  <si>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</si>
  <si>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</si>
  <si>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</si>
  <si>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</si>
  <si>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</si>
  <si>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</si>
  <si>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</si>
  <si>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</si>
  <si>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</si>
  <si>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</si>
  <si>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</si>
  <si>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</si>
  <si>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</si>
  <si>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</si>
  <si>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</si>
  <si>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</si>
  <si>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</si>
  <si>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</si>
  <si>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</si>
  <si>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</si>
  <si>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</si>
  <si>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</si>
  <si>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</si>
  <si>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</si>
  <si>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</si>
  <si>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</si>
  <si>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</si>
  <si>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</si>
  <si>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</si>
  <si>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</si>
  <si>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</si>
  <si>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</si>
  <si>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</si>
  <si>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</si>
  <si>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</si>
  <si>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</si>
  <si>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</si>
  <si>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</si>
  <si>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</si>
  <si>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</si>
  <si>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</si>
  <si>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</si>
  <si>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</si>
  <si>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</si>
  <si>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</si>
  <si>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</si>
  <si>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</si>
  <si>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</si>
  <si>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</si>
  <si>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</si>
  <si>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</si>
  <si>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</si>
  <si>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</si>
  <si>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</si>
  <si>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</si>
  <si>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</si>
  <si>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</si>
  <si>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</si>
  <si>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</si>
  <si>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</si>
  <si>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</si>
  <si>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</si>
  <si>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</si>
  <si>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</si>
  <si>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</si>
  <si>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</si>
  <si>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</si>
  <si>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</si>
  <si>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</si>
  <si>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</si>
  <si>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</si>
  <si>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</si>
  <si>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</si>
  <si>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</si>
  <si>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</si>
  <si>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</si>
  <si>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</si>
  <si>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</si>
  <si>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</si>
  <si>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</si>
  <si>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</si>
  <si>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</si>
  <si>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</si>
  <si>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</si>
  <si>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</si>
  <si>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</si>
  <si>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</si>
  <si>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</si>
  <si>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</si>
  <si>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</si>
  <si>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</si>
  <si>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</si>
  <si>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</si>
  <si>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</si>
  <si>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</si>
  <si>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</si>
  <si>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</si>
  <si>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</si>
  <si>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</si>
  <si>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</si>
  <si>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</si>
  <si>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</si>
  <si>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</si>
  <si>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</si>
  <si>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</si>
  <si>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</si>
  <si>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</si>
  <si>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</si>
  <si>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</si>
  <si>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</si>
  <si>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</si>
  <si>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</si>
  <si>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</si>
  <si>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</si>
  <si>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</si>
  <si>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</si>
  <si>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</si>
  <si>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</si>
  <si>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</si>
  <si>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</si>
  <si>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</si>
  <si>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</si>
  <si>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</si>
  <si>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</si>
  <si>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</si>
  <si>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</si>
  <si>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</si>
  <si>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</si>
  <si>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</si>
  <si>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</si>
  <si>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</si>
  <si>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</si>
  <si>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</si>
  <si>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</si>
  <si>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</si>
  <si>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</si>
  <si>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</si>
  <si>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</si>
  <si>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</si>
  <si>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</si>
  <si>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</si>
  <si>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</si>
  <si>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</si>
  <si>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</si>
  <si>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</si>
  <si>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</si>
  <si>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</si>
  <si>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</si>
  <si>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</si>
  <si>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</si>
  <si>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</si>
  <si>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</si>
  <si>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</si>
  <si>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</si>
  <si>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</si>
  <si>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</si>
  <si>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</si>
  <si>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</si>
  <si>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</si>
  <si>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</si>
  <si>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</si>
  <si>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</si>
  <si>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</si>
  <si>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</si>
  <si>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</si>
  <si>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</si>
  <si>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</si>
  <si>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</si>
  <si>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</si>
  <si>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</si>
  <si>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</si>
  <si>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</si>
  <si>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</si>
  <si>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</si>
  <si>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</si>
  <si>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</si>
  <si>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</si>
  <si>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</si>
  <si>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</si>
  <si>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</si>
  <si>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</si>
  <si>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</si>
  <si>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</si>
  <si>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</si>
  <si>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</si>
  <si>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</si>
  <si>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</si>
  <si>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</si>
  <si>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</si>
  <si>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</si>
  <si>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</si>
  <si>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</si>
  <si>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</si>
  <si>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</si>
  <si>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</si>
  <si>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</si>
  <si>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</si>
  <si>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</si>
  <si>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</si>
  <si>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</si>
  <si>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</si>
  <si>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</si>
  <si>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</si>
  <si>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</si>
  <si>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</si>
  <si>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</si>
  <si>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</si>
  <si>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</si>
  <si>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</si>
  <si>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</si>
  <si>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</si>
  <si>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</si>
  <si>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</si>
  <si>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</si>
  <si>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</si>
  <si>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</si>
  <si>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</si>
  <si>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</si>
  <si>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</si>
  <si>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</si>
  <si>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</si>
  <si>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</si>
  <si>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</si>
  <si>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</si>
  <si>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</si>
  <si>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</si>
  <si>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</si>
  <si>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</si>
  <si>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</si>
  <si>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</si>
  <si>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</si>
  <si>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</si>
  <si>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</si>
  <si>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</si>
  <si>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</si>
  <si>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</si>
  <si>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</si>
  <si>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</si>
  <si>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</si>
  <si>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</si>
  <si>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</si>
  <si>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</si>
  <si>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</si>
  <si>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</si>
  <si>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</si>
  <si>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</si>
  <si>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</si>
  <si>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</si>
  <si>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</si>
  <si>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</si>
  <si>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</si>
  <si>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</si>
  <si>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</si>
  <si>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</si>
  <si>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</si>
  <si>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</si>
  <si>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</si>
  <si>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</si>
  <si>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</si>
  <si>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</si>
  <si>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</si>
  <si>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</si>
  <si>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</si>
  <si>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</si>
  <si>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</si>
  <si>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</si>
  <si>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</si>
  <si>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</si>
  <si>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</si>
  <si>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</si>
  <si>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</si>
  <si>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</si>
  <si>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</si>
  <si>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</si>
  <si>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</si>
  <si>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</si>
  <si>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</si>
  <si>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</si>
  <si>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</si>
  <si>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</si>
  <si>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</si>
  <si>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</si>
  <si>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</si>
  <si>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</si>
  <si>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</si>
  <si>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</si>
  <si>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</si>
  <si>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</si>
  <si>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</si>
  <si>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</si>
  <si>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</si>
  <si>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</si>
  <si>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</si>
  <si>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</si>
  <si>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</si>
  <si>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</si>
  <si>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</si>
  <si>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</si>
  <si>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</si>
  <si>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</si>
  <si>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</si>
  <si>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</si>
  <si>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</si>
  <si>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</si>
  <si>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</si>
  <si>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</si>
  <si>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</si>
  <si>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</si>
  <si>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</si>
  <si>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</si>
  <si>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</si>
  <si>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</si>
  <si>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</si>
  <si>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</si>
  <si>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</si>
  <si>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</si>
  <si>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</si>
  <si>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</si>
  <si>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</si>
  <si>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</si>
  <si>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</si>
  <si>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</si>
  <si>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</si>
  <si>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</si>
  <si>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</si>
  <si>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</si>
  <si>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</si>
  <si>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</si>
  <si>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</si>
  <si>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</si>
  <si>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</si>
  <si>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</si>
  <si>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</si>
  <si>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</si>
  <si>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</si>
  <si>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</si>
  <si>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</si>
  <si>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</si>
  <si>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</si>
  <si>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</si>
  <si>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</si>
  <si>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</si>
  <si>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</si>
  <si>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</si>
  <si>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</si>
  <si>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</si>
  <si>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</si>
  <si>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</si>
  <si>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</si>
  <si>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</si>
  <si>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</si>
  <si>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</si>
  <si>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</si>
  <si>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</si>
  <si>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</si>
  <si>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</si>
  <si>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</si>
  <si>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</si>
  <si>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</si>
  <si>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</si>
  <si>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</si>
  <si>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</si>
  <si>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</si>
  <si>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</si>
  <si>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</si>
  <si>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</si>
  <si>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</si>
  <si>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</si>
  <si>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</si>
  <si>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</si>
  <si>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</si>
  <si>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</si>
  <si>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</si>
  <si>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</si>
  <si>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</si>
  <si>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</si>
  <si>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</si>
  <si>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</si>
  <si>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</si>
  <si>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</si>
  <si>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</si>
  <si>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</si>
  <si>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</si>
  <si>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</si>
  <si>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</si>
  <si>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</si>
  <si>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</si>
  <si>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</si>
  <si>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</si>
  <si>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</si>
  <si>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</si>
  <si>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</si>
  <si>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</si>
  <si>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</si>
  <si>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</si>
  <si>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</si>
  <si>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</si>
  <si>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</si>
  <si>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</si>
  <si>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</si>
  <si>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</si>
  <si>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</si>
  <si>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</si>
  <si>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</si>
  <si>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</si>
  <si>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</si>
  <si>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</si>
  <si>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</si>
  <si>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</si>
  <si>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</si>
  <si>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</si>
  <si>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</si>
  <si>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</si>
  <si>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</si>
  <si>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</si>
  <si>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</si>
  <si>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</si>
  <si>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</si>
  <si>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</si>
  <si>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</si>
  <si>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</si>
  <si>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</si>
  <si>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</si>
  <si>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</si>
  <si>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</si>
  <si>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</si>
  <si>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</si>
  <si>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</si>
  <si>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</si>
  <si>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</si>
  <si>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</si>
  <si>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</si>
  <si>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</si>
  <si>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</si>
  <si>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</si>
  <si>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</si>
  <si>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</si>
  <si>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</si>
  <si>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</si>
  <si>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</si>
  <si>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</si>
  <si>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</si>
  <si>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</si>
  <si>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</si>
  <si>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</si>
  <si>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</si>
  <si>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</si>
  <si>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</si>
  <si>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</si>
  <si>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</si>
  <si>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</si>
  <si>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</si>
  <si>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</si>
  <si>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</si>
  <si>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</si>
  <si>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</si>
  <si>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</si>
  <si>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</si>
  <si>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</si>
  <si>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</si>
  <si>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</si>
  <si>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</si>
  <si>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</si>
  <si>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</si>
  <si>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</si>
  <si>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</si>
  <si>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</si>
  <si>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</si>
  <si>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</si>
  <si>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</si>
  <si>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</si>
  <si>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</si>
  <si>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</si>
  <si>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</si>
  <si>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</si>
  <si>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</si>
  <si>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</si>
  <si>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</si>
  <si>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</si>
  <si>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</si>
  <si>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</si>
  <si>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</si>
  <si>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</si>
  <si>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</si>
  <si>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</si>
  <si>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</si>
  <si>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</si>
  <si>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</si>
  <si>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</si>
  <si>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</si>
  <si>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</si>
  <si>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</si>
  <si>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</si>
  <si>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</si>
  <si>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</si>
  <si>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</si>
  <si>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</si>
  <si>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</si>
  <si>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</si>
  <si>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</si>
  <si>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</si>
  <si>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</si>
  <si>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</si>
  <si>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</si>
  <si>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</si>
  <si>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</si>
  <si>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</si>
  <si>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</si>
  <si>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</si>
  <si>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</si>
  <si>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</si>
  <si>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</si>
  <si>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</si>
  <si>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</si>
  <si>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</si>
  <si>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</si>
  <si>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</si>
  <si>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</si>
  <si>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</si>
  <si>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</si>
  <si>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</si>
  <si>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</si>
  <si>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</si>
  <si>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</si>
  <si>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</si>
  <si>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</si>
  <si>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</si>
  <si>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</si>
  <si>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</si>
  <si>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</si>
  <si>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</si>
  <si>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</si>
  <si>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</si>
  <si>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</si>
  <si>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</si>
  <si>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</si>
  <si>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</si>
  <si>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</si>
  <si>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</si>
  <si>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</si>
  <si>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</si>
  <si>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</si>
  <si>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</si>
  <si>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</si>
  <si>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</si>
  <si>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</si>
  <si>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</si>
  <si>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</si>
  <si>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</si>
  <si>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</si>
  <si>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</si>
  <si>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</si>
  <si>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</si>
  <si>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</si>
  <si>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</si>
  <si>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</si>
  <si>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</si>
  <si>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</si>
  <si>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</si>
  <si>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</si>
  <si>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</si>
  <si>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</si>
  <si>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</si>
  <si>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</si>
  <si>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</si>
  <si>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</si>
  <si>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</si>
  <si>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</si>
  <si>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</si>
  <si>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</si>
  <si>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</si>
  <si>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</si>
  <si>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</si>
  <si>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</si>
  <si>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</si>
  <si>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</si>
  <si>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</si>
  <si>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</si>
  <si>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</si>
  <si>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</si>
  <si>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</si>
  <si>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</si>
  <si>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</si>
  <si>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</si>
  <si>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</si>
  <si>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</si>
  <si>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</si>
  <si>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</si>
  <si>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</si>
  <si>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</si>
  <si>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</si>
  <si>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</si>
  <si>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</si>
  <si>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</si>
  <si>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</si>
  <si>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</si>
  <si>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</si>
  <si>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</si>
  <si>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</si>
  <si>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</si>
  <si>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</si>
  <si>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</si>
  <si>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</si>
  <si>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</si>
  <si>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</si>
  <si>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</si>
  <si>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</si>
  <si>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</si>
  <si>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</si>
  <si>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</si>
  <si>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</si>
  <si>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</si>
  <si>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</si>
  <si>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</si>
  <si>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</si>
  <si>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</si>
  <si>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</si>
  <si>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</si>
  <si>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</si>
  <si>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</si>
  <si>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</si>
  <si>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</si>
  <si>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</si>
  <si>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</si>
  <si>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</si>
  <si>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</si>
  <si>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</si>
  <si>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</si>
  <si>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</si>
  <si>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</si>
  <si>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</si>
  <si>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</si>
  <si>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</si>
  <si>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</si>
  <si>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</si>
  <si>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</si>
  <si>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</si>
  <si>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</si>
  <si>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</si>
  <si>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</si>
  <si>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</si>
  <si>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</si>
  <si>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</si>
  <si>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</si>
  <si>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</si>
  <si>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</si>
  <si>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</si>
  <si>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</si>
  <si>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</si>
  <si>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</si>
  <si>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</si>
  <si>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</si>
  <si>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</si>
  <si>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</si>
  <si>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</si>
  <si>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</si>
  <si>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</si>
  <si>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</si>
  <si>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</si>
  <si>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</si>
  <si>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</si>
  <si>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</si>
  <si>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</si>
  <si>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</si>
  <si>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</si>
  <si>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</si>
  <si>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</si>
  <si>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</si>
  <si>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</si>
  <si>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</si>
  <si>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</si>
  <si>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</si>
  <si>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</si>
  <si>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</si>
  <si>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</si>
  <si>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</si>
  <si>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</si>
  <si>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</si>
  <si>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</si>
  <si>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</si>
  <si>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</si>
  <si>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</si>
  <si>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</si>
  <si>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</si>
  <si>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</si>
  <si>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</si>
  <si>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</si>
  <si>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</si>
  <si>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</si>
  <si>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</si>
  <si>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</si>
  <si>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</si>
  <si>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</si>
  <si>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</si>
  <si>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</si>
  <si>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</si>
  <si>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</si>
  <si>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</si>
  <si>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</si>
  <si>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</si>
  <si>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</si>
  <si>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</si>
  <si>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</si>
  <si>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</si>
  <si>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</si>
  <si>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</si>
  <si>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</si>
  <si>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</si>
  <si>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</si>
  <si>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</si>
  <si>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</si>
  <si>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</si>
  <si>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</si>
  <si>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</si>
  <si>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</si>
  <si>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</si>
  <si>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</si>
  <si>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</si>
  <si>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</si>
  <si>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</si>
  <si>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</si>
  <si>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</si>
  <si>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</si>
  <si>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</si>
  <si>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</si>
  <si>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</si>
  <si>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</si>
  <si>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</si>
  <si>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</si>
  <si>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</si>
  <si>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</si>
  <si>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</si>
  <si>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</si>
  <si>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</si>
  <si>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</si>
  <si>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</si>
  <si>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</si>
  <si>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</si>
  <si>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</si>
  <si>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</si>
  <si>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</si>
  <si>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</si>
  <si>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</si>
  <si>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</si>
  <si>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</si>
  <si>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</si>
  <si>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</si>
  <si>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</si>
  <si>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</si>
  <si>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</si>
  <si>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</si>
  <si>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</si>
  <si>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</si>
  <si>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</si>
  <si>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</si>
  <si>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</si>
  <si>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</si>
  <si>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</si>
  <si>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</si>
  <si>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</si>
  <si>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</si>
  <si>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</si>
  <si>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</si>
  <si>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</si>
  <si>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</si>
  <si>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</si>
  <si>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</si>
  <si>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</si>
  <si>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</si>
  <si>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</si>
  <si>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</si>
  <si>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</si>
  <si>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</si>
  <si>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</si>
  <si>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</si>
  <si>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</si>
  <si>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</si>
  <si>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</si>
  <si>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</si>
  <si>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</si>
  <si>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</si>
  <si>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</si>
  <si>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</si>
  <si>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</si>
  <si>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</si>
  <si>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</si>
  <si>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</si>
  <si>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</si>
  <si>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</si>
  <si>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</si>
  <si>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</si>
  <si>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</si>
  <si>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</si>
  <si>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</si>
  <si>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</si>
  <si>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</si>
  <si>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</si>
  <si>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</si>
  <si>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</si>
  <si>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</si>
  <si>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</si>
  <si>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</si>
  <si>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</si>
  <si>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</si>
  <si>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</si>
  <si>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</si>
  <si>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</si>
  <si>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</si>
  <si>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</si>
  <si>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</si>
  <si>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</si>
  <si>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</si>
  <si>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</si>
  <si>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</si>
  <si>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</si>
  <si>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</si>
  <si>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</si>
  <si>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</si>
  <si>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</si>
  <si>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</si>
  <si>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</si>
  <si>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</si>
  <si>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</si>
  <si>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</si>
  <si>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</si>
  <si>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</si>
  <si>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</si>
  <si>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</si>
  <si>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</si>
  <si>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</si>
  <si>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</si>
  <si>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</si>
  <si>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</si>
  <si>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</si>
  <si>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</si>
  <si>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</si>
  <si>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</si>
  <si>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</si>
  <si>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</si>
  <si>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</si>
  <si>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</si>
  <si>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</si>
  <si>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</si>
  <si>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</si>
  <si>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</si>
  <si>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</si>
  <si>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</si>
  <si>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</si>
  <si>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</si>
  <si>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</si>
  <si>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</si>
  <si>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</si>
  <si>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</si>
  <si>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</si>
  <si>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</si>
  <si>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</si>
  <si>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</si>
  <si>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</si>
  <si>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</si>
  <si>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</si>
  <si>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</si>
  <si>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</si>
  <si>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</si>
  <si>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</si>
  <si>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</si>
  <si>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</si>
  <si>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</si>
  <si>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</si>
  <si>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</si>
  <si>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</si>
  <si>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</si>
  <si>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</si>
  <si>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</si>
  <si>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</si>
  <si>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</si>
  <si>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</si>
  <si>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</si>
  <si>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</si>
  <si>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</si>
  <si>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</si>
  <si>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</si>
  <si>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</si>
  <si>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</si>
  <si>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</si>
  <si>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</si>
  <si>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</si>
  <si>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</si>
  <si>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</si>
  <si>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</si>
  <si>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</si>
  <si>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</si>
  <si>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</si>
  <si>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</si>
  <si>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</si>
  <si>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</si>
  <si>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</si>
  <si>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</si>
  <si>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</si>
  <si>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</si>
  <si>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</si>
  <si>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</si>
  <si>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</si>
  <si>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</si>
  <si>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</si>
  <si>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</si>
  <si>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</si>
  <si>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</si>
  <si>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</si>
  <si>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</si>
  <si>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</si>
  <si>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</si>
  <si>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</si>
  <si>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</si>
  <si>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</si>
  <si>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</si>
  <si>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</si>
  <si>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</si>
  <si>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</si>
  <si>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</si>
  <si>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</si>
  <si>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</si>
  <si>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</si>
  <si>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</si>
  <si>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</si>
  <si>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</si>
  <si>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</si>
  <si>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</si>
  <si>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</si>
  <si>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</si>
  <si>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</si>
  <si>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</si>
  <si>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</si>
  <si>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</si>
  <si>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</si>
  <si>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</si>
  <si>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</si>
  <si>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</si>
  <si>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</si>
  <si>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</si>
  <si>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</si>
  <si>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</si>
  <si>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</si>
  <si>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</si>
  <si>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</si>
  <si>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</si>
  <si>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</si>
  <si>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</si>
  <si>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</si>
  <si>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</si>
  <si>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</si>
  <si>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</si>
  <si>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</si>
  <si>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</si>
  <si>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</si>
  <si>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</si>
  <si>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</si>
  <si>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</si>
  <si>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</si>
  <si>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</si>
  <si>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</si>
  <si>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</si>
  <si>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</si>
  <si>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</si>
  <si>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</si>
  <si>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</si>
  <si>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</si>
  <si>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</si>
  <si>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</si>
  <si>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</si>
  <si>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</si>
  <si>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</si>
  <si>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</si>
  <si>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</si>
  <si>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</si>
  <si>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</si>
  <si>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</si>
  <si>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</si>
  <si>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</si>
  <si>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</si>
  <si>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</si>
  <si>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</si>
  <si>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</si>
  <si>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</si>
  <si>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</si>
  <si>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</si>
  <si>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</si>
  <si>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</si>
  <si>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</si>
  <si>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</si>
  <si>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</si>
  <si>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</si>
  <si>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</si>
  <si>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</si>
  <si>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</si>
  <si>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</si>
  <si>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</si>
  <si>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</si>
  <si>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</si>
  <si>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</si>
  <si>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</si>
  <si>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</si>
  <si>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</si>
  <si>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</si>
  <si>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</si>
  <si>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</si>
  <si>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</si>
  <si>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</si>
  <si>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</si>
  <si>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</si>
  <si>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</si>
  <si>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</si>
  <si>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</si>
  <si>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</si>
  <si>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</si>
  <si>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</si>
  <si>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</si>
  <si>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</si>
  <si>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</si>
  <si>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</si>
  <si>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</si>
  <si>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</si>
  <si>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</si>
  <si>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</si>
  <si>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</si>
  <si>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</si>
  <si>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</si>
  <si>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</si>
  <si>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</si>
  <si>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</si>
  <si>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</si>
  <si>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</si>
  <si>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</si>
  <si>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</si>
  <si>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</si>
  <si>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</si>
  <si>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</si>
  <si>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</si>
  <si>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</si>
  <si>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</si>
  <si>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</si>
  <si>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</si>
  <si>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</si>
  <si>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</si>
  <si>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</si>
  <si>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</si>
  <si>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</si>
  <si>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</si>
  <si>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</si>
  <si>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</si>
  <si>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</si>
  <si>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</si>
  <si>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</si>
  <si>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</si>
  <si>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</si>
  <si>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</si>
  <si>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</si>
  <si>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</si>
  <si>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</si>
  <si>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</si>
  <si>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</si>
  <si>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</si>
  <si>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</si>
  <si>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</si>
  <si>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</si>
  <si>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</si>
  <si>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</si>
  <si>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</si>
  <si>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</si>
  <si>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</si>
  <si>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</si>
  <si>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</si>
  <si>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</si>
  <si>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</si>
  <si>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</si>
  <si>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</si>
  <si>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</si>
  <si>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</si>
  <si>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</si>
  <si>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</si>
  <si>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</si>
  <si>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</si>
  <si>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</si>
  <si>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</si>
  <si>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</si>
  <si>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</si>
  <si>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</si>
  <si>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</si>
  <si>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</si>
  <si>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</si>
  <si>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</si>
  <si>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</si>
  <si>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</si>
  <si>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</si>
  <si>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</si>
  <si>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</si>
  <si>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</si>
  <si>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</si>
  <si>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</si>
  <si>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</si>
  <si>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</si>
  <si>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</si>
  <si>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</si>
  <si>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</si>
  <si>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</si>
  <si>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</si>
  <si>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</si>
  <si>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</si>
  <si>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</si>
  <si>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</si>
  <si>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</si>
  <si>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</si>
  <si>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</si>
  <si>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</si>
  <si>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</si>
  <si>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</si>
  <si>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</si>
  <si>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</si>
  <si>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</si>
  <si>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</si>
  <si>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</si>
  <si>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</si>
  <si>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</si>
  <si>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</si>
  <si>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</si>
  <si>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</si>
  <si>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</si>
  <si>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</si>
  <si>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</si>
  <si>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</si>
  <si>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</si>
  <si>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</si>
  <si>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</si>
  <si>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</si>
  <si>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</si>
  <si>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</si>
  <si>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</si>
  <si>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</si>
  <si>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</si>
  <si>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</si>
  <si>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</si>
  <si>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</si>
  <si>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</si>
  <si>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</si>
  <si>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</si>
  <si>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</si>
  <si>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</si>
  <si>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</si>
  <si>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</si>
  <si>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</si>
  <si>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</si>
  <si>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</si>
  <si>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</si>
  <si>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</si>
  <si>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</si>
  <si>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</si>
  <si>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</si>
  <si>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</si>
  <si>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</si>
  <si>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</si>
  <si>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</si>
  <si>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</si>
  <si>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</si>
  <si>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</si>
  <si>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</si>
  <si>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</si>
  <si>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</si>
  <si>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</si>
  <si>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</si>
  <si>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</si>
  <si>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</si>
  <si>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</si>
  <si>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</si>
  <si>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</si>
  <si>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</si>
  <si>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</si>
  <si>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</si>
  <si>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</si>
  <si>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</si>
  <si>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</si>
  <si>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</si>
  <si>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</si>
  <si>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</si>
  <si>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</si>
  <si>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</si>
  <si>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</si>
  <si>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</si>
  <si>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</si>
  <si>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</si>
  <si>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</si>
  <si>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</si>
  <si>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</si>
  <si>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</si>
  <si>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</si>
  <si>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</si>
  <si>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</si>
  <si>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</si>
  <si>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</si>
  <si>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</si>
  <si>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</si>
  <si>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</si>
  <si>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</si>
  <si>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</si>
  <si>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</si>
  <si>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</si>
  <si>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</si>
  <si>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</si>
  <si>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</si>
  <si>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</si>
  <si>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</si>
  <si>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</si>
  <si>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</si>
  <si>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</si>
  <si>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</si>
  <si>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</si>
  <si>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</si>
  <si>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</si>
  <si>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</si>
  <si>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</si>
  <si>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</si>
  <si>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</si>
  <si>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</si>
  <si>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</si>
  <si>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</si>
  <si>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</si>
  <si>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</si>
  <si>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</si>
  <si>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</si>
  <si>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</si>
  <si>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</si>
  <si>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</si>
  <si>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</si>
  <si>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</si>
  <si>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</si>
  <si>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</si>
  <si>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</si>
  <si>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</si>
  <si>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</si>
  <si>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</si>
  <si>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</si>
  <si>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</si>
  <si>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</si>
  <si>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</si>
  <si>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</si>
  <si>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</si>
  <si>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</si>
  <si>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</si>
  <si>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</si>
  <si>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</si>
  <si>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</si>
  <si>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</si>
  <si>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</si>
  <si>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</si>
  <si>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</si>
  <si>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</si>
  <si>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</si>
  <si>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</si>
  <si>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</si>
  <si>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</si>
  <si>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</si>
  <si>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</si>
  <si>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</si>
  <si>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</si>
  <si>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</si>
  <si>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</si>
  <si>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</si>
  <si>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</si>
  <si>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</si>
  <si>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</si>
  <si>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</si>
  <si>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</si>
  <si>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</si>
  <si>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</si>
  <si>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</si>
  <si>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</si>
  <si>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</si>
  <si>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</si>
  <si>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</si>
  <si>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</si>
  <si>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</si>
  <si>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</si>
  <si>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</si>
  <si>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</si>
  <si>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</si>
  <si>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</si>
  <si>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</si>
  <si>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</si>
  <si>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</si>
  <si>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</si>
  <si>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</si>
  <si>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</si>
  <si>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</si>
  <si>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</si>
  <si>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</si>
  <si>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</si>
  <si>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</si>
  <si>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</si>
  <si>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</si>
  <si>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</si>
  <si>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</si>
  <si>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</si>
  <si>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</si>
  <si>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</si>
  <si>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</si>
  <si>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</si>
  <si>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</si>
  <si>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</si>
  <si>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</si>
  <si>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</si>
  <si>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</si>
  <si>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</si>
  <si>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</si>
  <si>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</si>
  <si>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</si>
  <si>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</si>
  <si>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</si>
  <si>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</si>
  <si>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</si>
  <si>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</si>
  <si>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</si>
  <si>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</si>
  <si>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</si>
  <si>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</si>
  <si>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</si>
  <si>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</si>
  <si>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</si>
  <si>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</si>
  <si>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</si>
  <si>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</si>
  <si>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</si>
  <si>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</si>
  <si>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</si>
  <si>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</si>
  <si>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</si>
  <si>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</si>
  <si>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</si>
  <si>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</si>
  <si>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</si>
  <si>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</si>
  <si>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</si>
  <si>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</si>
  <si>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</si>
  <si>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</si>
  <si>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</si>
  <si>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</si>
  <si>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</si>
  <si>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</si>
  <si>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</si>
  <si>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</si>
  <si>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</si>
  <si>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</si>
  <si>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</si>
  <si>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</si>
  <si>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</si>
  <si>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</si>
  <si>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</si>
  <si>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</si>
  <si>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</si>
  <si>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</si>
  <si>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</si>
  <si>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</si>
  <si>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</si>
  <si>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</si>
  <si>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</si>
  <si>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</si>
  <si>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</si>
  <si>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</si>
  <si>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</si>
  <si>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</si>
  <si>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</si>
  <si>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</si>
  <si>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</si>
  <si>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</si>
  <si>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</si>
  <si>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</si>
  <si>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</si>
  <si>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</si>
  <si>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</si>
  <si>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</si>
  <si>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</si>
  <si>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</si>
  <si>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</si>
  <si>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</si>
  <si>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</si>
  <si>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</si>
  <si>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</si>
  <si>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</si>
  <si>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</si>
  <si>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</si>
  <si>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</si>
  <si>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</si>
  <si>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</si>
  <si>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</si>
  <si>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</si>
  <si>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</si>
  <si>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</si>
  <si>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</si>
  <si>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</si>
  <si>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</si>
  <si>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</si>
  <si>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</si>
  <si>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</si>
  <si>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</si>
  <si>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</si>
  <si>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</si>
  <si>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</si>
  <si>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</si>
  <si>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</si>
  <si>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</si>
  <si>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</si>
  <si>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</si>
  <si>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</si>
  <si>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</si>
  <si>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</si>
  <si>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</si>
  <si>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</si>
  <si>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</si>
  <si>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</si>
  <si>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</si>
  <si>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</si>
  <si>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</si>
  <si>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</si>
  <si>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</si>
  <si>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</si>
  <si>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</si>
  <si>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</si>
  <si>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</si>
  <si>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</si>
  <si>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</si>
  <si>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</si>
  <si>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</si>
  <si>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</si>
  <si>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</si>
  <si>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</si>
  <si>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</si>
  <si>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</si>
  <si>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</si>
  <si>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</si>
  <si>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</si>
  <si>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</si>
  <si>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</si>
  <si>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</si>
  <si>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</si>
  <si>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</si>
  <si>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</si>
  <si>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</si>
  <si>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</si>
  <si>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</si>
  <si>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</si>
  <si>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</si>
  <si>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</si>
  <si>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</si>
  <si>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</si>
  <si>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</si>
  <si>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</si>
  <si>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</si>
  <si>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</si>
  <si>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</si>
  <si>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</si>
  <si>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</si>
  <si>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</si>
  <si>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</si>
  <si>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</si>
  <si>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</si>
  <si>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</si>
  <si>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</si>
  <si>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</si>
  <si>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</si>
  <si>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</si>
  <si>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</si>
  <si>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</si>
  <si>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</si>
  <si>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</si>
  <si>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</si>
  <si>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</si>
  <si>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</si>
  <si>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</si>
  <si>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</si>
  <si>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</si>
  <si>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</si>
  <si>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</si>
  <si>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</si>
  <si>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</si>
  <si>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</si>
  <si>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</si>
  <si>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</si>
  <si>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</si>
  <si>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</si>
  <si>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</si>
  <si>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</si>
  <si>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</si>
  <si>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</si>
  <si>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</si>
  <si>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</si>
  <si>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</si>
  <si>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</si>
  <si>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</si>
  <si>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</si>
  <si>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</si>
  <si>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</si>
  <si>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</si>
  <si>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</si>
  <si>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</si>
  <si>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</si>
  <si>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</si>
  <si>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</si>
  <si>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</si>
  <si>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</si>
  <si>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</si>
  <si>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</si>
  <si>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</si>
  <si>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</si>
  <si>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</si>
  <si>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</si>
  <si>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</si>
  <si>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</si>
  <si>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</si>
  <si>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</si>
  <si>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</si>
  <si>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</si>
  <si>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</si>
  <si>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</si>
  <si>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</si>
  <si>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</si>
  <si>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</si>
  <si>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</si>
  <si>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</si>
  <si>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</si>
  <si>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</si>
  <si>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</si>
  <si>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</si>
  <si>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</si>
  <si>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</si>
  <si>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</si>
  <si>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</si>
  <si>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</si>
  <si>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</si>
  <si>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</si>
  <si>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</si>
  <si>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</si>
  <si>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</si>
  <si>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</si>
  <si>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</si>
  <si>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</si>
  <si>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</si>
  <si>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</si>
  <si>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</si>
  <si>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</si>
  <si>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</si>
  <si>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</si>
  <si>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</si>
  <si>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</si>
  <si>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</si>
  <si>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</si>
  <si>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</si>
  <si>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</si>
  <si>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</si>
  <si>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</si>
  <si>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</si>
  <si>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</si>
  <si>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</si>
  <si>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</si>
  <si>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</si>
  <si>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</si>
  <si>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</si>
  <si>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</si>
  <si>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</si>
  <si>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</si>
  <si>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</si>
  <si>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</si>
  <si>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</si>
  <si>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</si>
  <si>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</si>
  <si>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</si>
  <si>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</si>
  <si>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</si>
  <si>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</si>
  <si>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</si>
  <si>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</si>
  <si>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</si>
  <si>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</si>
  <si>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</si>
  <si>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</si>
  <si>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</si>
  <si>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</si>
  <si>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</si>
  <si>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</si>
  <si>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</si>
  <si>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</si>
  <si>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</si>
  <si>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</si>
  <si>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</si>
  <si>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</si>
  <si>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</si>
  <si>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</si>
  <si>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</si>
  <si>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</si>
  <si>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</si>
  <si>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</si>
  <si>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</si>
  <si>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</si>
  <si>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</si>
  <si>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</si>
  <si>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</si>
  <si>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</si>
  <si>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</si>
  <si>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</si>
  <si>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</si>
  <si>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</si>
  <si>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</si>
  <si>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</si>
  <si>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</si>
  <si>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</si>
  <si>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</si>
  <si>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</si>
  <si>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</si>
  <si>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</si>
  <si>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</si>
  <si>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</si>
  <si>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</si>
  <si>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</si>
  <si>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</si>
  <si>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</si>
  <si>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</si>
  <si>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</si>
  <si>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</si>
  <si>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</si>
  <si>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</si>
  <si>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</si>
  <si>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</si>
  <si>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</si>
  <si>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</si>
  <si>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</si>
  <si>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</si>
  <si>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</si>
  <si>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</si>
  <si>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</si>
  <si>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</si>
  <si>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</si>
  <si>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</si>
  <si>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</si>
  <si>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</si>
  <si>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</si>
  <si>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</si>
  <si>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</si>
  <si>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</si>
  <si>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</si>
  <si>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</si>
  <si>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</si>
  <si>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</si>
  <si>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</si>
  <si>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</si>
  <si>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</si>
  <si>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</si>
  <si>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</si>
  <si>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</si>
  <si>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</si>
  <si>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</si>
  <si>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</si>
  <si>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</si>
  <si>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</si>
  <si>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</si>
  <si>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</si>
  <si>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</si>
  <si>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</si>
  <si>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</si>
  <si>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</si>
  <si>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</si>
  <si>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</si>
  <si>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</si>
  <si>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</si>
  <si>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</si>
  <si>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</si>
  <si>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</si>
  <si>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</si>
  <si>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</si>
  <si>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</si>
  <si>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</si>
  <si>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</si>
  <si>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</si>
  <si>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</si>
  <si>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</si>
  <si>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</si>
  <si>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</si>
  <si>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</si>
  <si>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</si>
  <si>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</si>
  <si>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</si>
  <si>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</si>
  <si>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</si>
  <si>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</si>
  <si>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</si>
  <si>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</si>
  <si>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</si>
  <si>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</si>
  <si>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</si>
  <si>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</si>
  <si>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</si>
  <si>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</si>
  <si>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</si>
  <si>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</si>
  <si>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</si>
  <si>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</si>
  <si>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</si>
  <si>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</si>
  <si>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</si>
  <si>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</si>
  <si>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</si>
  <si>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</si>
  <si>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</si>
  <si>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</si>
  <si>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</si>
  <si>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</si>
  <si>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</si>
  <si>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</si>
  <si>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</si>
  <si>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</si>
  <si>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</si>
  <si>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</si>
  <si>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</si>
  <si>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</si>
  <si>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</si>
  <si>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</si>
  <si>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</si>
  <si>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</si>
  <si>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</si>
  <si>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</si>
  <si>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</si>
  <si>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</si>
  <si>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</si>
  <si>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</si>
  <si>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</si>
  <si>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</si>
  <si>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</si>
  <si>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</si>
  <si>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</si>
  <si>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</si>
  <si>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</si>
  <si>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</si>
  <si>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</si>
  <si>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</si>
  <si>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</si>
  <si>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</si>
  <si>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</si>
  <si>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</si>
  <si>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</si>
  <si>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</si>
  <si>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</si>
  <si>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</si>
  <si>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</si>
  <si>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</si>
  <si>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</si>
  <si>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</si>
  <si>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</si>
  <si>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</si>
  <si>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</si>
  <si>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</si>
  <si>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</si>
  <si>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</si>
  <si>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</si>
  <si>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</si>
  <si>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</si>
  <si>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</si>
  <si>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</si>
  <si>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</si>
  <si>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</si>
  <si>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</si>
  <si>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</si>
  <si>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</si>
  <si>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</si>
  <si>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</si>
  <si>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</si>
  <si>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</si>
  <si>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</si>
  <si>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</si>
  <si>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</si>
  <si>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</si>
  <si>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</si>
  <si>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</si>
  <si>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</si>
  <si>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</si>
  <si>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</si>
  <si>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</si>
  <si>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</si>
  <si>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</si>
  <si>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</si>
  <si>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</si>
  <si>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</si>
  <si>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</si>
  <si>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</si>
  <si>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</si>
  <si>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</si>
  <si>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</si>
  <si>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</si>
  <si>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</si>
  <si>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</si>
  <si>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</si>
  <si>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</si>
  <si>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</si>
  <si>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</si>
  <si>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</si>
  <si>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</si>
  <si>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</si>
  <si>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</si>
  <si>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</si>
  <si>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</si>
  <si>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</si>
  <si>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</si>
  <si>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</si>
  <si>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</si>
  <si>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</si>
  <si>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</si>
  <si>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</si>
  <si>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</si>
  <si>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</si>
  <si>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</si>
  <si>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</si>
  <si>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</si>
  <si>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</si>
  <si>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</si>
  <si>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</si>
  <si>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</si>
  <si>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</si>
  <si>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</si>
  <si>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</si>
  <si>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</si>
  <si>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</si>
  <si>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</si>
  <si>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</si>
  <si>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</si>
  <si>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</si>
  <si>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</si>
  <si>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</si>
  <si>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</si>
  <si>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</si>
  <si>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</si>
  <si>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</si>
  <si>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</si>
  <si>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</si>
  <si>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</si>
  <si>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</si>
  <si>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</si>
  <si>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</si>
  <si>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</si>
  <si>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</si>
  <si>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</si>
  <si>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</si>
  <si>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</si>
  <si>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</si>
  <si>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</si>
  <si>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</si>
  <si>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</si>
  <si>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</si>
  <si>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</si>
  <si>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</si>
  <si>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</si>
  <si>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</si>
  <si>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</si>
  <si>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</si>
  <si>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</si>
  <si>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</si>
  <si>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</si>
  <si>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</si>
  <si>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</si>
  <si>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</si>
  <si>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</si>
  <si>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</si>
  <si>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</si>
  <si>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</si>
  <si>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</si>
  <si>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</si>
  <si>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</si>
  <si>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</si>
  <si>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</si>
  <si>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</si>
  <si>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</si>
  <si>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</si>
  <si>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</si>
  <si>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</si>
  <si>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</si>
  <si>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</si>
  <si>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</si>
  <si>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</si>
  <si>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</si>
  <si>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</si>
  <si>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</si>
  <si>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</si>
  <si>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</si>
  <si>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</si>
  <si>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</si>
  <si>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</si>
  <si>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</si>
  <si>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</si>
  <si>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</si>
  <si>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</si>
  <si>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</si>
  <si>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</si>
  <si>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</si>
  <si>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</si>
  <si>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</si>
  <si>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</si>
  <si>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</si>
  <si>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</si>
  <si>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</si>
  <si>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</si>
  <si>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</si>
  <si>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</si>
  <si>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</si>
  <si>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</si>
  <si>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</si>
  <si>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</si>
  <si>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</si>
  <si>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</si>
  <si>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</si>
  <si>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</si>
  <si>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</si>
  <si>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</si>
  <si>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</si>
  <si>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</si>
  <si>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</si>
  <si>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</si>
  <si>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</si>
  <si>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</si>
  <si>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</si>
  <si>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</si>
  <si>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</si>
  <si>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</si>
  <si>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</si>
  <si>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</si>
  <si>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</si>
  <si>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</si>
  <si>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</si>
  <si>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</si>
  <si>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</si>
  <si>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</si>
  <si>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</si>
  <si>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</si>
  <si>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</si>
  <si>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</si>
  <si>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</si>
  <si>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</si>
  <si>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</si>
  <si>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</si>
  <si>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</si>
  <si>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</si>
  <si>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</si>
  <si>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</si>
  <si>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</si>
  <si>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</si>
  <si>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</si>
  <si>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</si>
  <si>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</si>
  <si>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</si>
  <si>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</si>
  <si>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</si>
  <si>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</si>
  <si>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</si>
  <si>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</si>
  <si>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</si>
  <si>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</si>
  <si>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</si>
  <si>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</si>
  <si>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</si>
  <si>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</si>
  <si>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</si>
  <si>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</si>
  <si>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</si>
  <si>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</si>
  <si>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</si>
  <si>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</si>
  <si>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</si>
  <si>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</si>
  <si>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</si>
  <si>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</si>
  <si>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</si>
  <si>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</si>
  <si>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</si>
  <si>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</si>
  <si>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</si>
  <si>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</si>
  <si>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</si>
  <si>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</si>
  <si>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</si>
  <si>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</si>
  <si>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</si>
  <si>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</si>
  <si>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</si>
  <si>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</si>
  <si>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</si>
  <si>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</si>
  <si>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</si>
  <si>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</si>
  <si>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</si>
  <si>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</si>
  <si>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</si>
  <si>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</si>
  <si>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</si>
  <si>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</si>
  <si>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</si>
  <si>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</si>
  <si>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</si>
  <si>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</si>
  <si>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</si>
  <si>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</si>
  <si>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</si>
  <si>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</si>
  <si>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</si>
  <si>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</si>
  <si>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</si>
  <si>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</si>
  <si>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</si>
  <si>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</si>
  <si>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</si>
  <si>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</si>
  <si>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</si>
  <si>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</si>
  <si>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</si>
  <si>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</si>
  <si>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</si>
  <si>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</si>
  <si>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</si>
  <si>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</si>
  <si>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</si>
  <si>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</si>
  <si>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</si>
  <si>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</si>
  <si>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</si>
  <si>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</si>
  <si>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</si>
  <si>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</si>
  <si>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</si>
  <si>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</si>
  <si>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</si>
  <si>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</si>
  <si>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</si>
  <si>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</si>
  <si>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</si>
  <si>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</si>
  <si>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</si>
  <si>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</si>
  <si>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</si>
  <si>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</si>
  <si>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</si>
  <si>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</si>
  <si>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</si>
  <si>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</si>
  <si>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</si>
  <si>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</si>
  <si>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</si>
  <si>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</si>
  <si>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</si>
  <si>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</si>
  <si>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</si>
  <si>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</si>
  <si>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</si>
  <si>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</si>
  <si>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</si>
  <si>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</si>
  <si>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</si>
  <si>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</si>
  <si>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</si>
  <si>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</si>
  <si>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</si>
  <si>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</si>
  <si>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</si>
  <si>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</si>
  <si>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</si>
  <si>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</si>
  <si>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</si>
  <si>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</si>
  <si>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</si>
  <si>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</si>
  <si>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</si>
  <si>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</si>
  <si>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</si>
  <si>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</si>
  <si>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</si>
  <si>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</si>
  <si>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</si>
  <si>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</si>
  <si>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</si>
  <si>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</si>
  <si>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</si>
  <si>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</si>
  <si>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</si>
  <si>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</si>
  <si>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</si>
  <si>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</si>
  <si>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</si>
  <si>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</si>
  <si>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</si>
  <si>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</si>
  <si>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</si>
  <si>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</si>
  <si>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</si>
  <si>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</si>
  <si>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</si>
  <si>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</si>
  <si>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</si>
  <si>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</si>
  <si>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</si>
  <si>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</si>
  <si>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</si>
  <si>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</si>
  <si>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</si>
  <si>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</si>
  <si>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</si>
  <si>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</si>
  <si>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</si>
  <si>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</si>
  <si>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</si>
  <si>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</si>
  <si>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</si>
  <si>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</si>
  <si>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</si>
  <si>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</si>
  <si>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</si>
  <si>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</si>
  <si>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</si>
  <si>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</si>
  <si>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</si>
  <si>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</si>
  <si>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</si>
  <si>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</si>
  <si>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</si>
  <si>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</si>
  <si>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</si>
  <si>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</si>
  <si>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</si>
  <si>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</si>
  <si>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</si>
  <si>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</si>
  <si>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</si>
  <si>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</si>
  <si>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</si>
  <si>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</si>
  <si>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</si>
  <si>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</si>
  <si>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</si>
  <si>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</si>
  <si>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</si>
  <si>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</si>
  <si>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</si>
  <si>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</si>
  <si>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</si>
  <si>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</si>
  <si>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</si>
  <si>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</si>
  <si>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</si>
  <si>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</si>
  <si>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</si>
  <si>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</si>
  <si>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</si>
  <si>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</si>
  <si>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</si>
  <si>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</si>
  <si>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</si>
  <si>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</si>
  <si>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</si>
  <si>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</si>
  <si>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</si>
  <si>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</si>
  <si>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</si>
  <si>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</si>
  <si>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</si>
  <si>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</si>
  <si>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</si>
  <si>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</si>
  <si>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</si>
  <si>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</si>
  <si>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</si>
  <si>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</si>
  <si>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</si>
  <si>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</si>
  <si>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</si>
  <si>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</si>
  <si>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</si>
  <si>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</si>
  <si>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</si>
  <si>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</si>
  <si>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</si>
  <si>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</si>
  <si>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</si>
  <si>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</si>
  <si>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</si>
  <si>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</si>
  <si>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</si>
  <si>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</si>
  <si>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</si>
  <si>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</si>
  <si>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</si>
  <si>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</si>
  <si>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</si>
  <si>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</si>
  <si>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</si>
  <si>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</si>
  <si>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</si>
  <si>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</si>
  <si>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</si>
  <si>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</si>
  <si>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</si>
  <si>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</si>
  <si>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</si>
  <si>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</si>
  <si>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</si>
  <si>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</si>
  <si>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</si>
  <si>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</si>
  <si>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</si>
  <si>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</si>
  <si>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</si>
  <si>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</si>
  <si>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</si>
  <si>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</si>
  <si>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</si>
  <si>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</si>
  <si>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</si>
  <si>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</si>
  <si>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</si>
  <si>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</si>
  <si>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</si>
  <si>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</si>
  <si>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</si>
  <si>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</si>
  <si>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</si>
  <si>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</si>
  <si>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</si>
  <si>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</si>
  <si>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</si>
  <si>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</si>
  <si>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</si>
  <si>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</si>
  <si>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</si>
  <si>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</si>
  <si>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</si>
  <si>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</si>
  <si>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</si>
  <si>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</si>
  <si>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</si>
  <si>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</si>
  <si>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</si>
  <si>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</si>
  <si>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</si>
  <si>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</si>
  <si>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</si>
  <si>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</si>
  <si>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</si>
  <si>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</si>
  <si>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</si>
  <si>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</si>
  <si>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</si>
  <si>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</si>
  <si>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</si>
  <si>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</si>
  <si>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</si>
  <si>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</si>
  <si>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</si>
  <si>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</si>
  <si>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</si>
  <si>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</si>
  <si>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</si>
  <si>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</si>
  <si>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</si>
  <si>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</si>
  <si>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</si>
  <si>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</si>
  <si>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</si>
  <si>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</si>
  <si>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</si>
  <si>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</si>
  <si>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</si>
  <si>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</si>
  <si>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</si>
  <si>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</si>
  <si>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</si>
  <si>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</si>
  <si>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</si>
  <si>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</si>
  <si>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</si>
  <si>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</si>
  <si>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</si>
  <si>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</si>
  <si>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</si>
  <si>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</si>
  <si>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</si>
  <si>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</si>
  <si>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</si>
  <si>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</si>
  <si>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</si>
  <si>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</si>
  <si>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</si>
  <si>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</si>
  <si>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</si>
  <si>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</si>
  <si>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</si>
  <si>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</si>
  <si>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</si>
  <si>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</si>
  <si>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</si>
  <si>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</si>
  <si>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</si>
  <si>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</si>
  <si>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</si>
  <si>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</si>
  <si>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</si>
  <si>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</si>
  <si>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</si>
  <si>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</si>
  <si>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</si>
  <si>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</si>
  <si>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</si>
  <si>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</si>
  <si>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</si>
  <si>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</si>
  <si>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</si>
  <si>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</si>
  <si>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</si>
  <si>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</si>
  <si>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</si>
  <si>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</si>
  <si>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</si>
  <si>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</si>
  <si>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</si>
  <si>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</si>
  <si>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</si>
  <si>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</si>
  <si>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</si>
  <si>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</si>
  <si>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</si>
  <si>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</si>
  <si>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</si>
  <si>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</si>
  <si>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</si>
  <si>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</si>
  <si>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</si>
  <si>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</si>
  <si>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</si>
  <si>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</si>
  <si>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</si>
  <si>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</si>
  <si>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</si>
  <si>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</si>
  <si>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</si>
  <si>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</si>
  <si>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</si>
  <si>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</si>
  <si>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</si>
  <si>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</si>
  <si>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</si>
  <si>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</si>
  <si>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</si>
  <si>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</si>
  <si>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</si>
  <si>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</si>
  <si>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</si>
  <si>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</si>
  <si>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</si>
  <si>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</si>
  <si>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</si>
  <si>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</si>
  <si>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</si>
  <si>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</si>
  <si>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</si>
  <si>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</si>
  <si>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</si>
  <si>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</si>
  <si>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</si>
  <si>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</si>
  <si>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</si>
  <si>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</si>
  <si>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</si>
  <si>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</si>
  <si>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</si>
  <si>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</si>
  <si>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</si>
  <si>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</si>
  <si>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</si>
  <si>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</si>
  <si>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</si>
  <si>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</si>
  <si>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</si>
  <si>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</si>
  <si>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</si>
  <si>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</si>
  <si>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</si>
  <si>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</si>
  <si>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</si>
  <si>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</si>
  <si>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</si>
  <si>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</si>
  <si>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</si>
  <si>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</si>
  <si>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</si>
  <si>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</si>
  <si>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</si>
  <si>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</si>
  <si>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</si>
  <si>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</si>
  <si>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</si>
  <si>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</si>
  <si>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</si>
  <si>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</si>
  <si>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</si>
  <si>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</si>
  <si>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</si>
  <si>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</si>
  <si>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</si>
  <si>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</si>
  <si>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</si>
  <si>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</si>
  <si>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</si>
  <si>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</si>
  <si>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</si>
  <si>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</si>
  <si>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</si>
  <si>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</si>
  <si>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</si>
  <si>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</si>
  <si>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</si>
  <si>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</si>
  <si>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</si>
  <si>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</si>
  <si>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</si>
  <si>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</si>
  <si>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</si>
  <si>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</si>
  <si>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</si>
  <si>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</si>
  <si>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</si>
  <si>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</si>
  <si>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</si>
  <si>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</si>
  <si>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</si>
  <si>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</si>
  <si>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</si>
  <si>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</si>
  <si>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</si>
  <si>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</si>
  <si>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</si>
  <si>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</si>
  <si>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</si>
  <si>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</si>
  <si>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</si>
  <si>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</si>
  <si>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</si>
  <si>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</si>
  <si>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</si>
  <si>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</si>
  <si>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</si>
  <si>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</si>
  <si>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</si>
  <si>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</si>
  <si>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</si>
  <si>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</si>
  <si>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</si>
  <si>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</si>
  <si>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</si>
  <si>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</si>
  <si>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</si>
  <si>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</si>
  <si>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</si>
  <si>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</si>
  <si>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</si>
  <si>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</si>
  <si>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</si>
  <si>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</si>
  <si>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</si>
  <si>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</si>
  <si>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</si>
  <si>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</si>
  <si>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</si>
  <si>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</si>
  <si>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</si>
  <si>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</si>
  <si>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</si>
  <si>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</si>
  <si>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</si>
  <si>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</si>
  <si>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</si>
  <si>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</si>
  <si>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</si>
  <si>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</si>
  <si>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</si>
  <si>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</si>
  <si>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</si>
  <si>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</si>
  <si>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</si>
  <si>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</si>
  <si>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</si>
  <si>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</si>
  <si>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</si>
  <si>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</si>
  <si>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</si>
  <si>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</si>
  <si>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</si>
  <si>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</si>
  <si>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</si>
  <si>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</si>
  <si>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</si>
  <si>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</si>
  <si>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</si>
  <si>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</si>
  <si>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</si>
  <si>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</si>
  <si>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</si>
  <si>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</si>
  <si>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</si>
  <si>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</si>
  <si>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</si>
  <si>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</si>
  <si>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</si>
  <si>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</si>
  <si>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</si>
  <si>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</si>
  <si>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</si>
  <si>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</si>
  <si>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</si>
  <si>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</si>
  <si>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</si>
  <si>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</si>
  <si>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</si>
  <si>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</si>
  <si>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</si>
  <si>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</si>
  <si>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</si>
  <si>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</si>
  <si>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</si>
  <si>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</si>
  <si>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</si>
  <si>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</si>
  <si>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</si>
  <si>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</si>
  <si>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</si>
  <si>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</si>
  <si>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</si>
  <si>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</si>
  <si>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</si>
  <si>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</si>
  <si>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</si>
  <si>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</si>
  <si>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</si>
  <si>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</si>
  <si>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</si>
  <si>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</si>
  <si>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</si>
  <si>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</si>
  <si>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</si>
  <si>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</si>
  <si>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</si>
  <si>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</si>
  <si>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</si>
  <si>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</si>
  <si>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</si>
  <si>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</si>
  <si>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</si>
  <si>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</si>
  <si>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</si>
  <si>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</si>
  <si>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</si>
  <si>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</si>
  <si>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</si>
  <si>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</si>
  <si>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</si>
  <si>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</si>
  <si>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</si>
  <si>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</si>
  <si>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</si>
  <si>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</si>
  <si>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</si>
  <si>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</si>
  <si>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</si>
  <si>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</si>
  <si>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</si>
  <si>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</si>
  <si>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</si>
  <si>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</si>
  <si>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</si>
  <si>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</si>
  <si>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</si>
  <si>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</si>
  <si>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</si>
  <si>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</si>
  <si>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</si>
  <si>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</si>
  <si>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</si>
  <si>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</si>
  <si>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</si>
  <si>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</si>
  <si>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</si>
  <si>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</si>
  <si>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</si>
  <si>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</si>
  <si>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</si>
  <si>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</si>
  <si>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</si>
  <si>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</si>
  <si>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</si>
  <si>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</si>
  <si>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</si>
  <si>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</si>
  <si>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</si>
  <si>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</si>
  <si>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</si>
  <si>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</si>
  <si>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</si>
  <si>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</si>
  <si>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</si>
  <si>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</si>
  <si>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</si>
  <si>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</si>
  <si>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</si>
  <si>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</si>
  <si>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</si>
  <si>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</si>
  <si>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</si>
  <si>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</si>
  <si>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</si>
  <si>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</si>
  <si>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</si>
  <si>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</si>
  <si>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</si>
  <si>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</si>
  <si>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</si>
  <si>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</si>
  <si>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</si>
  <si>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</si>
  <si>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</si>
  <si>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</si>
  <si>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</si>
  <si>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</si>
  <si>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</si>
  <si>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</si>
  <si>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</si>
  <si>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</si>
  <si>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</si>
  <si>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</si>
  <si>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</si>
  <si>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</si>
  <si>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</si>
  <si>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</si>
  <si>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</si>
  <si>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</si>
  <si>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</si>
  <si>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</si>
  <si>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</si>
  <si>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</si>
  <si>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</si>
  <si>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</si>
  <si>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</si>
  <si>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</si>
  <si>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</si>
  <si>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</si>
  <si>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</si>
  <si>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</si>
  <si>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</si>
  <si>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</si>
  <si>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</si>
  <si>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</si>
  <si>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</si>
  <si>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</si>
  <si>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</si>
  <si>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</si>
  <si>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</si>
  <si>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</si>
  <si>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</si>
  <si>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</si>
  <si>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</si>
  <si>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</si>
  <si>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</si>
  <si>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</si>
  <si>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</si>
  <si>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</si>
  <si>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</si>
  <si>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</si>
  <si>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</si>
  <si>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</si>
  <si>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</si>
  <si>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</si>
  <si>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</si>
  <si>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</si>
  <si>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</si>
  <si>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</si>
  <si>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</si>
  <si>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</si>
  <si>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</si>
  <si>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</si>
  <si>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</si>
  <si>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</si>
  <si>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</si>
  <si>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</si>
  <si>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</si>
  <si>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</si>
  <si>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</si>
  <si>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</si>
  <si>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</si>
  <si>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</si>
  <si>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</si>
  <si>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</si>
  <si>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</si>
  <si>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</si>
  <si>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</si>
  <si>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</si>
  <si>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</si>
  <si>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</si>
  <si>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</si>
  <si>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</si>
  <si>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</si>
  <si>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</si>
  <si>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</si>
  <si>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</si>
  <si>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</si>
  <si>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</si>
  <si>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</si>
  <si>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</si>
  <si>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</si>
  <si>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</si>
  <si>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</si>
  <si>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</si>
  <si>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</si>
  <si>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</si>
  <si>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</si>
  <si>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</si>
  <si>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</si>
  <si>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</si>
  <si>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</si>
  <si>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</si>
  <si>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</si>
  <si>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</si>
  <si>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</si>
  <si>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</si>
  <si>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</si>
  <si>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</si>
  <si>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</si>
  <si>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</si>
  <si>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</si>
  <si>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</si>
  <si>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</si>
  <si>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</si>
  <si>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</si>
  <si>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</si>
  <si>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</si>
  <si>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</si>
  <si>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</si>
  <si>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</si>
  <si>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</si>
  <si>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</si>
  <si>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</si>
  <si>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</si>
  <si>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</si>
  <si>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</si>
  <si>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</si>
  <si>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</si>
  <si>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</si>
  <si>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</si>
  <si>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</si>
  <si>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</si>
  <si>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</si>
  <si>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</si>
  <si>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</si>
  <si>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</si>
  <si>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</si>
  <si>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</si>
  <si>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</si>
  <si>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</si>
  <si>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</si>
  <si>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</si>
  <si>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</si>
  <si>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</si>
  <si>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</si>
  <si>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</si>
  <si>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</si>
  <si>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</si>
  <si>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</si>
  <si>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</si>
  <si>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</si>
  <si>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</si>
  <si>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</si>
  <si>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</si>
  <si>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</si>
  <si>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</si>
  <si>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</si>
  <si>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</si>
  <si>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</si>
  <si>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</si>
  <si>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</si>
  <si>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</si>
  <si>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</si>
  <si>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</si>
  <si>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</si>
  <si>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</si>
  <si>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</si>
  <si>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</si>
  <si>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</si>
  <si>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</si>
  <si>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</si>
  <si>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</si>
  <si>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</si>
  <si>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</si>
  <si>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</si>
  <si>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</si>
  <si>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</si>
  <si>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</si>
  <si>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</si>
  <si>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</si>
  <si>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</si>
  <si>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</si>
  <si>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</si>
  <si>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</si>
  <si>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</si>
  <si>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</si>
  <si>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</si>
  <si>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</si>
  <si>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</si>
  <si>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</si>
  <si>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</si>
  <si>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</si>
  <si>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</si>
  <si>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</si>
  <si>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</si>
  <si>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</si>
  <si>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</si>
  <si>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</si>
  <si>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</si>
  <si>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</si>
  <si>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</si>
  <si>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</si>
  <si>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</si>
  <si>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</si>
  <si>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</si>
  <si>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</si>
  <si>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</si>
  <si>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</si>
  <si>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</si>
  <si>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</si>
  <si>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</si>
  <si>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</si>
  <si>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</si>
  <si>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</si>
  <si>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</si>
  <si>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</si>
  <si>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</si>
  <si>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</si>
  <si>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</si>
  <si>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</si>
  <si>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</si>
  <si>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</si>
  <si>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</si>
  <si>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</si>
  <si>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</si>
  <si>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</si>
  <si>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</si>
  <si>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</si>
  <si>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</si>
  <si>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</si>
  <si>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</si>
  <si>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</si>
  <si>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</si>
  <si>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</si>
  <si>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</si>
  <si>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</si>
  <si>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</si>
  <si>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</si>
  <si>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</si>
  <si>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</si>
  <si>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</si>
  <si>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</si>
  <si>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</si>
  <si>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</si>
  <si>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</si>
  <si>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</si>
  <si>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</si>
  <si>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</si>
  <si>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</si>
  <si>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</si>
  <si>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</si>
  <si>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</si>
  <si>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</si>
  <si>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</si>
  <si>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</si>
  <si>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</si>
  <si>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</si>
  <si>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</si>
  <si>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</si>
  <si>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</si>
  <si>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</si>
  <si>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</si>
  <si>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</si>
  <si>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</si>
  <si>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</si>
  <si>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</si>
  <si>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</si>
  <si>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</si>
  <si>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</si>
  <si>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</si>
  <si>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</si>
  <si>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</si>
  <si>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</si>
  <si>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</si>
  <si>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</si>
  <si>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</si>
  <si>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</si>
  <si>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</si>
  <si>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</si>
  <si>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</si>
  <si>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</si>
  <si>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</si>
  <si>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</si>
  <si>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</si>
  <si>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</si>
  <si>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</si>
  <si>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</si>
  <si>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</si>
  <si>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</si>
  <si>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</si>
  <si>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</si>
  <si>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</si>
  <si>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</si>
  <si>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</si>
  <si>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</si>
  <si>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</si>
  <si>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</si>
  <si>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</si>
  <si>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</si>
  <si>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</si>
  <si>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</si>
  <si>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</si>
  <si>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</si>
  <si>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</si>
  <si>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</si>
  <si>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</si>
  <si>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</si>
  <si>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</si>
  <si>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</si>
  <si>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</si>
  <si>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</si>
  <si>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</si>
  <si>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</si>
  <si>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</si>
  <si>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</si>
  <si>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</si>
  <si>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</si>
  <si>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</si>
  <si>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</si>
  <si>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</si>
  <si>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</si>
  <si>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</si>
  <si>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</si>
  <si>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</si>
  <si>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</si>
  <si>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</si>
  <si>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</si>
  <si>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</si>
  <si>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</si>
  <si>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</si>
  <si>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</si>
  <si>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</si>
  <si>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</si>
  <si>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</si>
  <si>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</si>
  <si>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</si>
  <si>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</si>
  <si>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</si>
  <si>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</si>
  <si>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</si>
  <si>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</si>
  <si>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</si>
  <si>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</si>
  <si>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</si>
  <si>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</si>
  <si>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</si>
  <si>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</si>
  <si>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</si>
  <si>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</si>
  <si>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</si>
  <si>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</si>
  <si>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</si>
  <si>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</si>
  <si>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</si>
  <si>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</si>
  <si>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</si>
  <si>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</si>
  <si>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</si>
  <si>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</si>
  <si>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</si>
  <si>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</si>
  <si>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</si>
  <si>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</si>
  <si>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</si>
  <si>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</si>
  <si>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</si>
  <si>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</si>
  <si>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</si>
  <si>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</si>
  <si>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</si>
  <si>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</si>
  <si>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</si>
  <si>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</si>
  <si>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</si>
  <si>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</si>
  <si>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</si>
  <si>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</si>
  <si>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</si>
  <si>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</si>
  <si>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</si>
  <si>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</si>
  <si>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</si>
  <si>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</si>
  <si>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</si>
  <si>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</si>
  <si>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</si>
  <si>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</si>
  <si>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</si>
  <si>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</si>
  <si>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</si>
  <si>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</si>
  <si>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</si>
  <si>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</si>
  <si>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</si>
  <si>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</si>
  <si>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</si>
  <si>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</si>
  <si>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</si>
  <si>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</si>
  <si>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</si>
  <si>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</si>
  <si>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</si>
  <si>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</si>
  <si>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</si>
  <si>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</si>
  <si>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</si>
  <si>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</si>
  <si>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</si>
  <si>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</si>
  <si>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</si>
  <si>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</si>
  <si>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</si>
  <si>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</si>
  <si>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</si>
  <si>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</si>
  <si>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</si>
  <si>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</si>
  <si>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</si>
  <si>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</si>
  <si>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</si>
  <si>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</si>
  <si>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</si>
  <si>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</si>
  <si>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</si>
  <si>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</si>
  <si>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</si>
  <si>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</si>
  <si>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</si>
  <si>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</si>
  <si>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</si>
  <si>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</si>
  <si>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</si>
  <si>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</si>
  <si>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</si>
  <si>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</si>
  <si>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</si>
  <si>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</si>
  <si>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</si>
  <si>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</si>
  <si>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</si>
  <si>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</si>
  <si>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</si>
  <si>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</si>
  <si>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</si>
  <si>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</si>
  <si>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</si>
  <si>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</si>
  <si>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</si>
  <si>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</si>
  <si>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</si>
  <si>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</si>
  <si>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</si>
  <si>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</si>
  <si>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</si>
  <si>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</si>
  <si>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</si>
  <si>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</si>
  <si>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</si>
  <si>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</si>
  <si>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</si>
  <si>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</si>
  <si>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</si>
  <si>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</si>
  <si>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</si>
  <si>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</si>
  <si>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</si>
  <si>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</si>
  <si>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</si>
  <si>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</si>
  <si>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</si>
  <si>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</si>
  <si>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</si>
  <si>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</si>
  <si>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</si>
  <si>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</si>
  <si>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</si>
  <si>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</si>
  <si>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</si>
  <si>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</si>
  <si>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</si>
  <si>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</si>
  <si>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</si>
  <si>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</si>
  <si>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</si>
  <si>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</si>
  <si>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</si>
  <si>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</si>
  <si>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</si>
  <si>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</si>
  <si>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</si>
  <si>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</si>
  <si>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</si>
  <si>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</si>
  <si>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</si>
  <si>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</si>
  <si>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</si>
  <si>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</si>
  <si>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</si>
  <si>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</si>
  <si>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</si>
  <si>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</si>
  <si>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</si>
  <si>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</si>
  <si>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</si>
  <si>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</si>
  <si>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</si>
  <si>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</si>
  <si>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</si>
  <si>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</si>
  <si>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</si>
  <si>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</si>
  <si>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</si>
  <si>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</si>
  <si>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</si>
  <si>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</si>
  <si>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</si>
  <si>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</si>
  <si>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</si>
  <si>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</si>
  <si>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</si>
  <si>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</si>
  <si>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</si>
  <si>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</si>
  <si>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</si>
  <si>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</si>
  <si>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</si>
  <si>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</si>
  <si>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</si>
  <si>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</si>
  <si>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</si>
  <si>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</si>
  <si>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</si>
  <si>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</si>
  <si>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</si>
  <si>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</si>
  <si>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</si>
  <si>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</si>
  <si>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</si>
  <si>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</si>
  <si>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</si>
  <si>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</si>
  <si>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</si>
  <si>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</si>
  <si>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</si>
  <si>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</si>
  <si>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</si>
  <si>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</si>
  <si>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</si>
  <si>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</si>
  <si>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</si>
  <si>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</si>
  <si>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</si>
  <si>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</si>
  <si>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</si>
  <si>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</si>
  <si>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</si>
  <si>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</si>
  <si>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</si>
  <si>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</si>
  <si>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</si>
  <si>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</si>
  <si>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</si>
  <si>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</si>
  <si>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</si>
  <si>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</si>
  <si>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</si>
  <si>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</si>
  <si>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</si>
  <si>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</si>
  <si>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</si>
  <si>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</si>
  <si>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</si>
  <si>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</si>
  <si>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</si>
  <si>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</si>
  <si>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</si>
  <si>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</si>
  <si>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</si>
  <si>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</si>
  <si>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</si>
  <si>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</si>
  <si>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</si>
  <si>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</si>
  <si>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</si>
  <si>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</si>
  <si>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</si>
  <si>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</si>
  <si>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</si>
  <si>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</si>
  <si>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</si>
  <si>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</si>
  <si>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</si>
  <si>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</si>
  <si>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</si>
  <si>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</si>
  <si>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</si>
  <si>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</si>
  <si>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</si>
  <si>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</si>
  <si>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</si>
  <si>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</si>
  <si>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</si>
  <si>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</si>
  <si>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</si>
  <si>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</si>
  <si>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</si>
  <si>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</si>
  <si>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</si>
  <si>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</si>
  <si>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</si>
  <si>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</si>
  <si>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</si>
  <si>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</si>
  <si>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</si>
  <si>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</si>
  <si>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</si>
  <si>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</si>
  <si>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</si>
  <si>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</si>
  <si>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</si>
  <si>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</si>
  <si>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</si>
  <si>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</si>
  <si>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</si>
  <si>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</si>
  <si>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</si>
  <si>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</si>
  <si>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</si>
  <si>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</si>
  <si>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</si>
  <si>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</si>
  <si>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</si>
  <si>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</si>
  <si>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</si>
  <si>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</si>
  <si>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</si>
  <si>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</si>
  <si>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</si>
  <si>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</si>
  <si>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</si>
  <si>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</si>
  <si>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</si>
  <si>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</si>
  <si>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</si>
  <si>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</si>
  <si>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</si>
  <si>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</si>
  <si>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</si>
  <si>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</si>
  <si>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</si>
  <si>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</si>
  <si>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</si>
  <si>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</si>
  <si>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</si>
  <si>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</si>
  <si>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</si>
  <si>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</si>
  <si>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</si>
  <si>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</si>
  <si>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</si>
  <si>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</si>
  <si>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</si>
  <si>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</si>
  <si>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</si>
  <si>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</si>
  <si>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</si>
  <si>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</si>
  <si>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</si>
  <si>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</si>
  <si>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</si>
  <si>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</si>
  <si>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</si>
  <si>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</si>
  <si>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</si>
  <si>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</si>
  <si>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</si>
  <si>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</si>
  <si>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</si>
  <si>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</si>
  <si>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</si>
  <si>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</si>
  <si>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</si>
  <si>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</si>
  <si>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</si>
  <si>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</si>
  <si>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</si>
  <si>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</si>
  <si>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</si>
  <si>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</si>
  <si>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</si>
  <si>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</si>
  <si>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</si>
  <si>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</si>
  <si>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</si>
  <si>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</si>
  <si>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</si>
  <si>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</si>
  <si>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</si>
  <si>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</si>
  <si>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</si>
  <si>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</si>
  <si>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</si>
  <si>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</si>
  <si>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</si>
  <si>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</si>
  <si>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</si>
  <si>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</si>
  <si>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</si>
  <si>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</si>
  <si>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</si>
  <si>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</si>
  <si>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</si>
  <si>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</si>
  <si>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</si>
  <si>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</si>
  <si>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</si>
  <si>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</si>
  <si>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</si>
  <si>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</si>
  <si>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</si>
  <si>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</si>
  <si>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</si>
  <si>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</si>
  <si>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</si>
  <si>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</si>
  <si>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</si>
  <si>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</si>
  <si>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</si>
  <si>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</si>
  <si>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</si>
  <si>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</si>
  <si>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</si>
  <si>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</si>
  <si>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</si>
  <si>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</si>
  <si>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</si>
  <si>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</si>
  <si>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</si>
  <si>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</si>
  <si>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</si>
  <si>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</si>
  <si>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</si>
  <si>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</si>
  <si>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</si>
  <si>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</si>
  <si>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</si>
  <si>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</si>
  <si>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</si>
  <si>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</si>
  <si>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</si>
  <si>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</si>
  <si>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</si>
  <si>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</si>
  <si>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</si>
  <si>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</si>
  <si>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</si>
  <si>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</si>
  <si>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</si>
  <si>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</si>
  <si>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</si>
  <si>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</si>
  <si>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</si>
  <si>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</si>
  <si>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</si>
  <si>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</si>
  <si>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</si>
  <si>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</si>
  <si>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</si>
  <si>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</si>
  <si>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</si>
  <si>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</si>
  <si>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</si>
  <si>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</si>
  <si>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</si>
  <si>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</si>
  <si>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</si>
  <si>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</si>
  <si>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</si>
  <si>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</si>
  <si>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</si>
  <si>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</si>
  <si>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</si>
  <si>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</si>
  <si>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</si>
  <si>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</si>
  <si>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</si>
  <si>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</si>
  <si>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</si>
  <si>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</si>
  <si>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</si>
  <si>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</si>
  <si>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</si>
  <si>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</si>
  <si>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</si>
  <si>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</si>
  <si>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</si>
  <si>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</si>
  <si>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</si>
  <si>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</si>
  <si>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</si>
  <si>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</si>
  <si>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</si>
  <si>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</si>
  <si>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</si>
  <si>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</si>
  <si>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</si>
  <si>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</si>
  <si>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</si>
  <si>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</si>
  <si>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</si>
  <si>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</si>
  <si>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</si>
  <si>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</si>
  <si>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</si>
  <si>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</si>
  <si>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</si>
  <si>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</si>
  <si>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</si>
  <si>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</si>
  <si>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</si>
  <si>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</si>
  <si>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</si>
  <si>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</si>
  <si>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</si>
  <si>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</si>
  <si>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</si>
  <si>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</si>
  <si>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</si>
  <si>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</si>
  <si>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</si>
  <si>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</si>
  <si>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</si>
  <si>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</si>
  <si>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</si>
  <si>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</si>
  <si>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</si>
  <si>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</si>
  <si>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</si>
  <si>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</si>
  <si>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</si>
  <si>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</si>
  <si>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</si>
  <si>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</si>
  <si>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</si>
  <si>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</si>
  <si>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</si>
  <si>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</si>
  <si>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</si>
  <si>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</si>
  <si>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</si>
  <si>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</si>
  <si>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</si>
  <si>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</si>
  <si>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</si>
  <si>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</si>
  <si>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</si>
  <si>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</si>
  <si>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</si>
  <si>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</si>
  <si>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</si>
  <si>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</si>
  <si>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</si>
  <si>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</si>
  <si>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</si>
  <si>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</si>
  <si>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</si>
  <si>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</si>
  <si>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</si>
  <si>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</si>
  <si>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</si>
  <si>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</si>
  <si>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</si>
  <si>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</si>
  <si>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</si>
  <si>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</si>
  <si>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</si>
  <si>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</si>
  <si>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</si>
  <si>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</si>
  <si>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</si>
  <si>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</si>
  <si>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</si>
  <si>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</si>
  <si>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</si>
  <si>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</si>
  <si>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</si>
  <si>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</si>
  <si>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</si>
  <si>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</si>
  <si>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</si>
  <si>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</si>
  <si>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</si>
  <si>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</si>
  <si>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</si>
  <si>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</si>
  <si>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</si>
  <si>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</si>
  <si>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</si>
  <si>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</si>
  <si>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</si>
  <si>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</si>
  <si>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</si>
  <si>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</si>
  <si>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</si>
  <si>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</si>
  <si>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</si>
  <si>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</si>
  <si>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</si>
  <si>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</si>
  <si>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</si>
  <si>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</si>
  <si>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</si>
  <si>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</si>
  <si>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</si>
  <si>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</si>
  <si>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</si>
  <si>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</si>
  <si>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</si>
  <si>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</si>
  <si>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</si>
  <si>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</si>
  <si>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</si>
  <si>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</si>
  <si>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</si>
  <si>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</si>
  <si>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</si>
  <si>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</si>
  <si>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</si>
  <si>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</si>
  <si>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</si>
  <si>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</si>
  <si>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</si>
  <si>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</si>
  <si>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</si>
  <si>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</si>
  <si>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</si>
  <si>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</si>
  <si>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</si>
  <si>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</si>
  <si>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</si>
  <si>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</si>
  <si>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</si>
  <si>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</si>
  <si>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</si>
  <si>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</si>
  <si>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</si>
  <si>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</si>
  <si>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</si>
  <si>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</si>
  <si>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</si>
  <si>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</si>
  <si>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</si>
  <si>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</si>
  <si>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</si>
  <si>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</si>
  <si>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</si>
  <si>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</si>
  <si>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</si>
  <si>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</si>
  <si>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</si>
  <si>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</si>
  <si>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</si>
  <si>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</si>
  <si>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</si>
  <si>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</si>
  <si>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</si>
  <si>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</si>
  <si>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</si>
  <si>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</si>
  <si>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</si>
  <si>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</si>
  <si>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</si>
  <si>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</si>
  <si>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</si>
  <si>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</si>
  <si>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</si>
  <si>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</si>
  <si>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</si>
  <si>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</si>
  <si>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</si>
  <si>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</si>
  <si>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</si>
  <si>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</si>
  <si>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</si>
  <si>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</si>
  <si>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</si>
  <si>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</si>
  <si>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</si>
  <si>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</si>
  <si>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</si>
  <si>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</si>
  <si>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</si>
  <si>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</si>
  <si>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</si>
  <si>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</si>
  <si>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</si>
  <si>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</si>
  <si>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</si>
  <si>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</si>
  <si>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</si>
  <si>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</si>
  <si>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</si>
  <si>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</si>
  <si>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</si>
  <si>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</si>
  <si>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</si>
  <si>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</si>
  <si>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</si>
  <si>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</si>
  <si>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</si>
  <si>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</si>
  <si>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</si>
  <si>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</si>
  <si>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</si>
  <si>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</si>
  <si>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</si>
  <si>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</si>
  <si>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</si>
  <si>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</si>
  <si>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</si>
  <si>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</si>
  <si>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</si>
  <si>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</si>
  <si>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</si>
  <si>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</si>
  <si>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</si>
  <si>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</si>
  <si>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</si>
  <si>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</si>
  <si>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</si>
  <si>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</si>
  <si>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</si>
  <si>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</si>
  <si>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</si>
  <si>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</si>
  <si>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</si>
  <si>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</si>
  <si>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</si>
  <si>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</si>
  <si>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</si>
  <si>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</si>
  <si>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</si>
  <si>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</si>
  <si>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</si>
  <si>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</si>
  <si>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</si>
  <si>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</si>
  <si>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</si>
  <si>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</si>
  <si>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</si>
  <si>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</si>
  <si>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</si>
  <si>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</si>
  <si>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</si>
  <si>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</si>
  <si>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</si>
  <si>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</si>
  <si>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</si>
  <si>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</si>
  <si>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</si>
  <si>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</si>
  <si>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</si>
  <si>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</si>
  <si>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</si>
  <si>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</si>
  <si>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</si>
  <si>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</si>
  <si>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</si>
  <si>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</si>
  <si>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</si>
  <si>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</si>
  <si>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</si>
  <si>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</si>
  <si>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</si>
  <si>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</si>
  <si>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</si>
  <si>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</si>
  <si>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</si>
  <si>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</si>
  <si>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</si>
  <si>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</si>
  <si>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</si>
  <si>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</si>
  <si>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</si>
  <si>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</si>
  <si>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</si>
  <si>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</si>
  <si>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</si>
  <si>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</si>
  <si>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</si>
  <si>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</si>
  <si>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</si>
  <si>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</si>
  <si>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</si>
  <si>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</si>
  <si>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</si>
  <si>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</si>
  <si>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</si>
  <si>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</si>
  <si>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</si>
  <si>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</si>
  <si>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</si>
  <si>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</si>
  <si>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</si>
  <si>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</si>
  <si>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</si>
  <si>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</si>
  <si>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</si>
  <si>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</si>
  <si>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</si>
  <si>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</si>
  <si>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</si>
  <si>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</si>
  <si>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</si>
  <si>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</si>
  <si>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</si>
  <si>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</si>
  <si>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</si>
  <si>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</si>
  <si>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</si>
  <si>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</si>
  <si>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</si>
  <si>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</si>
  <si>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</si>
  <si>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</si>
  <si>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</si>
  <si>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</si>
  <si>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</si>
  <si>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</si>
  <si>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</si>
  <si>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</si>
  <si>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</si>
  <si>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</si>
  <si>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</si>
  <si>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</si>
  <si>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</si>
  <si>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</si>
  <si>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</si>
  <si>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</si>
  <si>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</si>
  <si>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</si>
  <si>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</si>
  <si>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</si>
  <si>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</si>
  <si>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</si>
  <si>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</si>
  <si>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</si>
  <si>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</si>
  <si>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</si>
  <si>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</si>
  <si>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</si>
  <si>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</si>
  <si>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</si>
  <si>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</si>
  <si>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</si>
  <si>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</si>
  <si>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</si>
  <si>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</si>
  <si>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</si>
  <si>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</si>
  <si>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</si>
  <si>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</si>
  <si>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</si>
  <si>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</si>
  <si>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</si>
  <si>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</si>
  <si>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</si>
  <si>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</si>
  <si>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</si>
  <si>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</si>
  <si>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</si>
  <si>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</si>
  <si>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</si>
  <si>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</si>
  <si>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</si>
  <si>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</si>
  <si>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</si>
  <si>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</si>
  <si>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</si>
  <si>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</si>
  <si>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</si>
  <si>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</si>
  <si>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</si>
  <si>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</si>
  <si>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</si>
  <si>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</si>
  <si>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</si>
  <si>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</si>
  <si>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</si>
  <si>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</si>
  <si>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</si>
  <si>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</si>
  <si>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</si>
  <si>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</si>
  <si>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</si>
  <si>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</si>
  <si>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</si>
  <si>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</si>
  <si>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</si>
  <si>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</si>
  <si>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</si>
  <si>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</si>
  <si>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</si>
  <si>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</si>
  <si>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</si>
  <si>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</si>
  <si>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</si>
  <si>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</si>
  <si>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</si>
  <si>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</si>
  <si>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</si>
  <si>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</si>
  <si>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</si>
  <si>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</si>
  <si>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</si>
  <si>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</si>
  <si>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</si>
  <si>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</si>
  <si>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</si>
  <si>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</si>
  <si>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</si>
  <si>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</si>
  <si>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</si>
  <si>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</si>
  <si>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</si>
  <si>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</si>
  <si>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</si>
  <si>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</si>
  <si>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</si>
  <si>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</si>
  <si>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</si>
  <si>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</si>
  <si>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</si>
  <si>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</si>
  <si>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</si>
  <si>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</si>
  <si>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</si>
  <si>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</si>
  <si>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</si>
  <si>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</si>
  <si>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</si>
  <si>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</si>
  <si>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</si>
  <si>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</si>
  <si>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</si>
  <si>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</si>
  <si>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</si>
  <si>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</si>
  <si>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</si>
  <si>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</si>
  <si>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</si>
  <si>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</si>
  <si>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</si>
  <si>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</si>
  <si>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</si>
  <si>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</si>
  <si>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</si>
  <si>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</si>
  <si>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</si>
  <si>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</si>
  <si>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</si>
  <si>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</si>
  <si>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</si>
  <si>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</si>
  <si>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</si>
  <si>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</si>
  <si>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</si>
  <si>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</si>
  <si>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</si>
  <si>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</si>
  <si>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</si>
  <si>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</si>
  <si>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</si>
  <si>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</si>
  <si>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</si>
  <si>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</si>
  <si>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</si>
  <si>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</si>
  <si>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</si>
  <si>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</si>
  <si>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</si>
  <si>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</si>
  <si>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</si>
  <si>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</si>
  <si>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</si>
  <si>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</si>
  <si>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</si>
  <si>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</si>
  <si>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</si>
  <si>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</si>
  <si>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</si>
  <si>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</si>
  <si>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</si>
  <si>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</si>
  <si>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</si>
  <si>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</si>
  <si>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</si>
  <si>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</si>
  <si>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</si>
  <si>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</si>
  <si>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</si>
  <si>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</si>
  <si>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</si>
  <si>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</si>
  <si>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</si>
  <si>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</si>
  <si>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</si>
  <si>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</si>
  <si>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</si>
  <si>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</si>
  <si>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</si>
  <si>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</si>
  <si>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</si>
  <si>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</si>
  <si>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</si>
  <si>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</si>
  <si>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</si>
  <si>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</si>
  <si>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</si>
  <si>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</si>
  <si>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</si>
  <si>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</si>
  <si>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</si>
  <si>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</si>
  <si>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</si>
  <si>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</si>
  <si>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</si>
  <si>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</si>
  <si>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</si>
  <si>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</si>
  <si>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</si>
  <si>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</si>
  <si>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</si>
  <si>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</si>
  <si>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</si>
  <si>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</si>
  <si>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</si>
  <si>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</si>
  <si>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</si>
  <si>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</si>
  <si>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</si>
  <si>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</si>
  <si>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</si>
  <si>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</si>
  <si>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</si>
  <si>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</si>
  <si>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</si>
  <si>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</si>
  <si>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</si>
  <si>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</si>
  <si>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</si>
  <si>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</si>
  <si>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</si>
  <si>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</si>
  <si>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</si>
  <si>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</si>
  <si>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</si>
  <si>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</si>
  <si>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</si>
  <si>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</si>
  <si>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</si>
  <si>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</si>
  <si>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</si>
  <si>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</si>
  <si>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</si>
  <si>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</si>
  <si>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</si>
  <si>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</si>
  <si>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</si>
  <si>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</si>
  <si>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</si>
  <si>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</si>
  <si>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</si>
  <si>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</si>
  <si>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</si>
  <si>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</si>
  <si>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</si>
  <si>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</si>
  <si>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</si>
  <si>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</si>
  <si>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</si>
  <si>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</si>
  <si>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</si>
  <si>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</si>
  <si>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</si>
  <si>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</si>
  <si>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</si>
  <si>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</si>
  <si>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</si>
  <si>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</si>
  <si>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</si>
  <si>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</si>
  <si>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</si>
  <si>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</si>
  <si>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</si>
  <si>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</si>
  <si>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</si>
  <si>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</si>
  <si>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</si>
  <si>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</si>
  <si>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</si>
  <si>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</si>
  <si>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</si>
  <si>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</si>
  <si>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</si>
  <si>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</si>
  <si>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</si>
  <si>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</si>
  <si>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</si>
  <si>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</si>
  <si>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</si>
  <si>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</si>
  <si>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</si>
  <si>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</si>
  <si>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</si>
  <si>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</si>
  <si>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</si>
  <si>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</si>
  <si>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</si>
  <si>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</si>
  <si>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</si>
  <si>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</si>
  <si>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</si>
  <si>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</si>
  <si>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</si>
  <si>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</si>
  <si>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</si>
  <si>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</si>
  <si>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</si>
  <si>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</si>
  <si>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</si>
  <si>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</si>
  <si>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</si>
  <si>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</si>
  <si>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</si>
  <si>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</si>
  <si>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</si>
  <si>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</si>
  <si>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</si>
  <si>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</si>
  <si>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</si>
  <si>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</si>
  <si>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</si>
  <si>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</si>
  <si>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</si>
  <si>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</si>
  <si>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</si>
  <si>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</si>
  <si>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</si>
  <si>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</si>
  <si>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</si>
  <si>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</si>
  <si>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</si>
  <si>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</si>
  <si>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</si>
  <si>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</si>
  <si>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</si>
  <si>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</si>
  <si>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</si>
  <si>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</si>
  <si>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</si>
  <si>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</si>
  <si>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</si>
  <si>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</si>
  <si>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</si>
  <si>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</si>
  <si>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</si>
  <si>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</si>
  <si>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</si>
  <si>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</si>
  <si>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</si>
  <si>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</si>
  <si>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</si>
  <si>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</si>
  <si>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</si>
  <si>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</si>
  <si>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</si>
  <si>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</si>
  <si>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</si>
  <si>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</si>
  <si>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</si>
  <si>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</si>
  <si>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</si>
  <si>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</si>
  <si>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</si>
  <si>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</si>
  <si>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</si>
  <si>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</si>
  <si>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</si>
  <si>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</si>
  <si>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</si>
  <si>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</si>
  <si>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</si>
  <si>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</si>
  <si>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</si>
  <si>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</si>
  <si>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</si>
  <si>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</si>
  <si>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</si>
  <si>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</si>
  <si>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</si>
  <si>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</si>
  <si>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</si>
  <si>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</si>
  <si>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</si>
  <si>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</si>
  <si>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</si>
  <si>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</si>
  <si>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</si>
  <si>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</si>
  <si>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</si>
  <si>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</si>
  <si>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</si>
  <si>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</si>
  <si>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</si>
  <si>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</si>
  <si>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</si>
  <si>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</si>
  <si>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</si>
  <si>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</si>
  <si>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</si>
  <si>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</si>
  <si>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</si>
  <si>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</si>
  <si>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</si>
  <si>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</si>
  <si>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</si>
  <si>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</si>
  <si>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</si>
  <si>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</si>
  <si>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</si>
  <si>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</si>
  <si>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</si>
  <si>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</si>
  <si>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</si>
  <si>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</si>
  <si>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</si>
  <si>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</si>
  <si>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</si>
  <si>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</si>
  <si>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</si>
  <si>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</si>
  <si>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</si>
  <si>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</si>
  <si>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</si>
  <si>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</si>
  <si>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</si>
  <si>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</si>
  <si>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</si>
  <si>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</si>
  <si>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</si>
  <si>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</si>
  <si>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</si>
  <si>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</si>
  <si>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</si>
  <si>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</si>
  <si>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</si>
  <si>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</si>
  <si>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</si>
  <si>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</si>
  <si>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</si>
  <si>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</si>
  <si>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</si>
  <si>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</si>
  <si>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</si>
  <si>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</si>
  <si>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</si>
  <si>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</si>
  <si>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</si>
  <si>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</si>
  <si>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</si>
  <si>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</si>
  <si>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</si>
  <si>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</si>
  <si>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</si>
  <si>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</si>
  <si>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</si>
  <si>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</si>
  <si>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</si>
  <si>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</si>
  <si>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</si>
  <si>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</si>
  <si>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</si>
  <si>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</si>
  <si>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</si>
  <si>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</si>
  <si>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</si>
  <si>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</si>
  <si>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</si>
  <si>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</si>
  <si>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</si>
  <si>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</si>
  <si>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</si>
  <si>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</si>
  <si>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</si>
  <si>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</si>
  <si>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</si>
  <si>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</si>
  <si>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</si>
  <si>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</si>
  <si>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</si>
  <si>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</si>
  <si>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</si>
  <si>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</si>
  <si>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</si>
  <si>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</si>
  <si>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</si>
  <si>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</si>
  <si>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</si>
  <si>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</si>
  <si>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</si>
  <si>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</si>
  <si>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</si>
  <si>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</si>
  <si>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</si>
  <si>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</si>
  <si>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</si>
  <si>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</si>
  <si>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</si>
  <si>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</si>
  <si>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</si>
  <si>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</si>
  <si>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</si>
  <si>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</si>
  <si>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</si>
  <si>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</si>
  <si>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</si>
  <si>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</si>
  <si>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</si>
  <si>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</si>
  <si>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</si>
  <si>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</si>
  <si>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</si>
  <si>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</si>
  <si>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</si>
  <si>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</si>
  <si>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</si>
  <si>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</si>
  <si>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</si>
  <si>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</si>
  <si>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</si>
  <si>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</si>
  <si>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</si>
  <si>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</si>
  <si>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</si>
  <si>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</si>
  <si>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</si>
  <si>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</si>
  <si>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</si>
  <si>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</si>
  <si>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</si>
  <si>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</si>
  <si>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</si>
  <si>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</si>
  <si>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</si>
  <si>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</si>
  <si>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</si>
  <si>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</si>
  <si>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</si>
  <si>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</si>
  <si>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</si>
  <si>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</si>
  <si>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</si>
  <si>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</si>
  <si>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</si>
  <si>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</si>
  <si>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</si>
  <si>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</si>
  <si>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</si>
  <si>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</si>
  <si>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</si>
  <si>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</si>
  <si>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</si>
  <si>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</si>
  <si>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</si>
  <si>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</si>
  <si>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</si>
  <si>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</si>
  <si>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</si>
  <si>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</si>
  <si>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</si>
  <si>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</si>
  <si>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</si>
  <si>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</si>
  <si>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</si>
  <si>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</si>
  <si>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</si>
  <si>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</si>
  <si>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</si>
  <si>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</si>
  <si>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</si>
  <si>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</si>
  <si>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</si>
  <si>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</si>
  <si>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</si>
  <si>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</si>
  <si>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</si>
  <si>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</si>
  <si>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</si>
  <si>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</si>
  <si>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</si>
  <si>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</si>
  <si>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</si>
  <si>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</si>
  <si>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</si>
  <si>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</si>
  <si>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</si>
  <si>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</si>
  <si>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</si>
  <si>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</si>
  <si>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</si>
  <si>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</si>
  <si>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</si>
  <si>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</si>
  <si>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</si>
  <si>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</si>
  <si>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</si>
  <si>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</si>
  <si>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</si>
  <si>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</si>
  <si>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</si>
  <si>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</si>
  <si>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</si>
  <si>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</si>
  <si>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</si>
  <si>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</si>
  <si>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</si>
  <si>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</si>
  <si>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</si>
  <si>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</si>
  <si>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</si>
  <si>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</si>
  <si>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</si>
  <si>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</si>
  <si>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</si>
  <si>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</si>
  <si>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</si>
  <si>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</si>
  <si>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</si>
  <si>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</si>
  <si>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</si>
  <si>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</si>
  <si>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</si>
  <si>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</si>
  <si>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</si>
  <si>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</si>
  <si>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</si>
  <si>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</si>
  <si>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</si>
  <si>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</si>
  <si>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</si>
  <si>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</si>
  <si>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</si>
  <si>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</si>
  <si>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</si>
  <si>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</si>
  <si>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</si>
  <si>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</si>
  <si>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</si>
  <si>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</si>
  <si>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</si>
  <si>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</si>
  <si>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</si>
  <si>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</si>
  <si>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</si>
  <si>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</si>
  <si>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</si>
  <si>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</si>
  <si>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</si>
  <si>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</si>
  <si>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</si>
  <si>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</si>
  <si>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</si>
  <si>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</si>
  <si>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</si>
  <si>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</si>
  <si>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</si>
  <si>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</si>
  <si>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</si>
  <si>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</si>
  <si>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</si>
  <si>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</si>
  <si>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</si>
  <si>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</si>
  <si>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</si>
  <si>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</si>
  <si>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</si>
  <si>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</si>
  <si>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</si>
  <si>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</si>
  <si>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</si>
  <si>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</si>
  <si>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</si>
  <si>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</si>
  <si>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</si>
  <si>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</si>
  <si>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</si>
  <si>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</si>
  <si>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</si>
  <si>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</si>
  <si>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</si>
  <si>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</si>
  <si>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</si>
  <si>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</si>
  <si>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</si>
  <si>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</si>
  <si>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</si>
  <si>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</si>
  <si>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</si>
  <si>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</si>
  <si>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</si>
  <si>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</si>
  <si>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</si>
  <si>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</si>
  <si>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</si>
  <si>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</si>
  <si>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</si>
  <si>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</si>
  <si>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</si>
  <si>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</si>
  <si>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</si>
  <si>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</si>
  <si>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</si>
  <si>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</si>
  <si>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</si>
  <si>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</si>
  <si>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</si>
  <si>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</si>
  <si>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</si>
  <si>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</si>
  <si>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</si>
  <si>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</si>
  <si>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</si>
  <si>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</si>
  <si>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</si>
  <si>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</si>
  <si>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</si>
  <si>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</si>
  <si>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</si>
  <si>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</si>
  <si>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</si>
  <si>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</si>
  <si>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</si>
  <si>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</si>
  <si>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</si>
  <si>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</si>
  <si>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</si>
  <si>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</si>
  <si>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</si>
  <si>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</si>
  <si>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</si>
  <si>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</si>
  <si>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</si>
  <si>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</si>
  <si>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</si>
  <si>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</si>
  <si>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</si>
  <si>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</si>
  <si>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</si>
  <si>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</si>
  <si>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</si>
  <si>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</si>
  <si>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</si>
  <si>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</si>
  <si>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</si>
  <si>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</si>
  <si>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</si>
  <si>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</si>
  <si>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</si>
  <si>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</si>
  <si>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</si>
  <si>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</si>
  <si>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</si>
  <si>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</si>
  <si>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</si>
  <si>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</si>
  <si>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</si>
  <si>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</si>
  <si>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</si>
  <si>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</si>
  <si>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</si>
  <si>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</si>
  <si>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</si>
  <si>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</si>
  <si>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</si>
  <si>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</si>
  <si>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</si>
  <si>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</si>
  <si>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</si>
  <si>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</si>
  <si>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</si>
  <si>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</si>
  <si>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</si>
  <si>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</si>
  <si>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</si>
  <si>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</si>
  <si>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</si>
  <si>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</si>
  <si>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</si>
  <si>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</si>
  <si>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</si>
  <si>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</si>
  <si>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</si>
  <si>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</si>
  <si>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</si>
  <si>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</si>
  <si>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</si>
  <si>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</si>
  <si>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</si>
  <si>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</si>
  <si>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</si>
  <si>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</si>
  <si>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</si>
  <si>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</si>
  <si>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</si>
  <si>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</si>
  <si>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</si>
  <si>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</si>
  <si>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</si>
  <si>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</si>
  <si>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</si>
  <si>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</si>
  <si>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</si>
  <si>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</si>
  <si>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</si>
  <si>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</si>
  <si>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</si>
  <si>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</si>
  <si>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</si>
  <si>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</si>
  <si>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</si>
  <si>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</si>
  <si>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</si>
  <si>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</si>
  <si>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</si>
  <si>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</si>
  <si>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</si>
  <si>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</si>
  <si>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</si>
  <si>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</si>
  <si>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</si>
  <si>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</si>
  <si>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</si>
  <si>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</si>
  <si>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</si>
  <si>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</si>
  <si>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</si>
  <si>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</si>
  <si>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</si>
  <si>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</si>
  <si>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</si>
  <si>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</si>
  <si>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</si>
  <si>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</si>
  <si>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</si>
  <si>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</si>
  <si>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</si>
  <si>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</si>
  <si>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</si>
  <si>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</si>
  <si>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</si>
  <si>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</si>
  <si>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</si>
  <si>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</si>
  <si>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</si>
  <si>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</si>
  <si>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</si>
  <si>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</si>
  <si>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</si>
  <si>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</si>
  <si>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</si>
  <si>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</si>
  <si>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</si>
  <si>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</si>
  <si>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</si>
  <si>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</si>
  <si>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</si>
  <si>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</si>
  <si>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</si>
  <si>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</si>
  <si>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</si>
  <si>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</si>
  <si>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</si>
  <si>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</si>
  <si>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</si>
  <si>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</si>
  <si>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</si>
  <si>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</si>
  <si>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</si>
  <si>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</si>
  <si>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</si>
  <si>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</si>
  <si>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</si>
  <si>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</si>
  <si>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</si>
  <si>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</si>
  <si>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</si>
  <si>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</si>
  <si>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</si>
  <si>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</si>
  <si>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</si>
  <si>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</si>
  <si>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</si>
  <si>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</si>
  <si>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</si>
  <si>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</si>
  <si>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</si>
  <si>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</si>
  <si>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</si>
  <si>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</si>
  <si>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</si>
  <si>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</si>
  <si>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</si>
  <si>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</si>
  <si>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</si>
  <si>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</si>
  <si>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</si>
  <si>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</si>
  <si>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</si>
  <si>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</si>
  <si>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</si>
  <si>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</si>
  <si>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</si>
  <si>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</si>
  <si>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</si>
  <si>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</si>
  <si>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</si>
  <si>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</si>
  <si>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</si>
  <si>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</si>
  <si>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</si>
  <si>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</si>
  <si>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</si>
  <si>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</si>
  <si>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</si>
  <si>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</si>
  <si>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</si>
  <si>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</si>
  <si>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</si>
  <si>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</si>
  <si>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</si>
  <si>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</si>
  <si>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</si>
  <si>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</si>
  <si>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</si>
  <si>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</si>
  <si>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</si>
  <si>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</si>
  <si>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</si>
  <si>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</si>
  <si>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</si>
  <si>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</si>
  <si>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</si>
  <si>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</si>
  <si>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</si>
  <si>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</si>
  <si>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</si>
  <si>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</si>
  <si>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</si>
  <si>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</si>
  <si>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</si>
  <si>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</si>
  <si>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</si>
  <si>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</si>
  <si>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</si>
  <si>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</si>
  <si>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</si>
  <si>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</si>
  <si>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</si>
  <si>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</si>
  <si>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</si>
  <si>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</si>
  <si>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</si>
  <si>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</si>
  <si>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</si>
  <si>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</si>
  <si>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</si>
  <si>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</si>
  <si>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</si>
  <si>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</si>
  <si>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</si>
  <si>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</si>
  <si>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</si>
  <si>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</si>
  <si>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</si>
  <si>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</si>
  <si>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</si>
  <si>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</si>
  <si>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</si>
  <si>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</si>
  <si>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</si>
  <si>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</si>
  <si>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</si>
  <si>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</si>
  <si>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</si>
  <si>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</si>
  <si>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</si>
  <si>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</si>
  <si>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</si>
  <si>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</si>
  <si>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</si>
  <si>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</si>
  <si>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</si>
  <si>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</si>
  <si>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</si>
  <si>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</si>
  <si>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</si>
  <si>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</si>
  <si>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</si>
  <si>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</si>
  <si>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</si>
  <si>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</si>
  <si>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</si>
  <si>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</si>
  <si>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</si>
  <si>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</si>
  <si>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</si>
  <si>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</si>
  <si>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</si>
  <si>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</si>
  <si>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</si>
  <si>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</si>
  <si>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</si>
  <si>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</si>
  <si>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</si>
  <si>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</si>
  <si>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</si>
  <si>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</si>
  <si>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</si>
  <si>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</si>
  <si>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</si>
  <si>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</si>
  <si>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</si>
  <si>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</si>
  <si>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</si>
  <si>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</si>
  <si>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</si>
  <si>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</si>
  <si>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</si>
  <si>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</si>
  <si>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</si>
  <si>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</si>
  <si>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</si>
  <si>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</si>
  <si>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</si>
  <si>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</si>
  <si>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</si>
  <si>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</si>
  <si>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</si>
  <si>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</si>
  <si>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</si>
  <si>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</si>
  <si>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</si>
  <si>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</si>
  <si>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</si>
  <si>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</si>
  <si>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</si>
  <si>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</si>
  <si>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</si>
  <si>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</si>
  <si>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</si>
  <si>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</si>
  <si>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</si>
  <si>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</si>
  <si>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</si>
  <si>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</si>
  <si>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</si>
  <si>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</si>
  <si>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</si>
  <si>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</si>
  <si>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</si>
  <si>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</si>
  <si>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</si>
  <si>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</si>
  <si>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</si>
  <si>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</si>
  <si>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</si>
  <si>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</si>
  <si>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</si>
  <si>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</si>
  <si>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</si>
  <si>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</si>
  <si>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</si>
  <si>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</si>
  <si>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</si>
  <si>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</si>
  <si>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</si>
  <si>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</si>
  <si>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</si>
  <si>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</si>
  <si>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</si>
  <si>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</si>
  <si>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</si>
  <si>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</si>
  <si>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</si>
  <si>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</si>
  <si>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</si>
  <si>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</si>
  <si>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</si>
  <si>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</si>
  <si>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</si>
  <si>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</si>
  <si>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</si>
  <si>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</si>
  <si>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</si>
  <si>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</si>
  <si>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</si>
  <si>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</si>
  <si>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</si>
  <si>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</si>
  <si>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</si>
  <si>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</si>
  <si>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</si>
  <si>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</si>
  <si>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</si>
  <si>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</si>
  <si>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</si>
  <si>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</si>
  <si>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</si>
  <si>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</si>
  <si>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</si>
  <si>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</si>
  <si>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</si>
  <si>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</si>
  <si>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</si>
  <si>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</si>
  <si>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</si>
  <si>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</si>
  <si>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</si>
  <si>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</si>
  <si>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</si>
  <si>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</si>
  <si>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</si>
  <si>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</si>
  <si>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</si>
  <si>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</si>
  <si>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</si>
  <si>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</si>
  <si>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</si>
  <si>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</si>
  <si>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</si>
  <si>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</si>
  <si>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</si>
  <si>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</si>
  <si>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</si>
  <si>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</si>
  <si>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</si>
  <si>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</si>
  <si>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</si>
  <si>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</si>
  <si>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</si>
  <si>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</si>
  <si>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</si>
  <si>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</si>
  <si>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</si>
  <si>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</si>
  <si>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</si>
  <si>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</si>
  <si>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</si>
  <si>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</si>
  <si>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</si>
  <si>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</si>
  <si>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</si>
  <si>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</si>
  <si>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</si>
  <si>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</si>
  <si>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</si>
  <si>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</si>
  <si>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</si>
  <si>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</si>
  <si>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</si>
  <si>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</si>
  <si>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</si>
  <si>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</si>
  <si>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</si>
  <si>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</si>
  <si>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</si>
  <si>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</si>
  <si>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</si>
  <si>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</si>
  <si>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</si>
  <si>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</si>
  <si>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</si>
  <si>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</si>
  <si>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</si>
  <si>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</si>
  <si>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</si>
  <si>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</si>
  <si>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</si>
  <si>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</si>
  <si>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</si>
  <si>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</si>
  <si>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</si>
  <si>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</si>
  <si>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</si>
  <si>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</si>
  <si>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</si>
  <si>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</si>
  <si>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</si>
  <si>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</si>
  <si>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</si>
  <si>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</si>
  <si>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</si>
  <si>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</si>
  <si>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</si>
  <si>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</si>
  <si>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</si>
  <si>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</si>
  <si>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</si>
  <si>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</si>
  <si>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</si>
  <si>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</si>
  <si>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</si>
  <si>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</si>
  <si>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</si>
  <si>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</si>
  <si>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</si>
  <si>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</si>
  <si>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</si>
  <si>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</si>
  <si>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</si>
  <si>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</si>
  <si>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</si>
  <si>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</si>
  <si>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</si>
  <si>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</si>
  <si>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</si>
  <si>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</si>
  <si>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</si>
  <si>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</si>
  <si>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</si>
  <si>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</si>
  <si>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</si>
  <si>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</si>
  <si>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</si>
  <si>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</si>
  <si>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</si>
  <si>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</si>
  <si>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</si>
  <si>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</si>
  <si>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</si>
  <si>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</si>
  <si>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</si>
  <si>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</si>
  <si>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</si>
  <si>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</si>
  <si>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</si>
  <si>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</si>
  <si>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</si>
  <si>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</si>
  <si>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</si>
  <si>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</si>
  <si>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</si>
  <si>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</si>
  <si>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</si>
  <si>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</si>
  <si>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</si>
  <si>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</si>
  <si>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</si>
  <si>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</si>
  <si>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</si>
  <si>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</si>
  <si>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</si>
  <si>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</si>
  <si>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</si>
  <si>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</si>
  <si>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</si>
  <si>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</si>
  <si>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</si>
  <si>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</si>
  <si>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</si>
  <si>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</si>
  <si>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</si>
  <si>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</si>
  <si>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</si>
  <si>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</si>
  <si>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</si>
  <si>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</si>
  <si>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</si>
  <si>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</si>
  <si>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</si>
  <si>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</si>
  <si>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</si>
  <si>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</si>
  <si>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</si>
  <si>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</si>
  <si>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</si>
  <si>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</si>
  <si>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</si>
  <si>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</si>
  <si>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</si>
  <si>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</si>
  <si>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</si>
  <si>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</si>
  <si>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</si>
  <si>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</si>
  <si>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</si>
  <si>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</si>
  <si>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</si>
  <si>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</si>
  <si>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</si>
  <si>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</si>
  <si>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</si>
  <si>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</si>
  <si>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</si>
  <si>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</si>
  <si>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</si>
  <si>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</si>
  <si>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</si>
  <si>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</si>
  <si>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</si>
  <si>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</si>
  <si>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</si>
  <si>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</si>
  <si>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</si>
  <si>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</si>
  <si>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</si>
  <si>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</si>
  <si>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</si>
  <si>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</si>
  <si>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</si>
  <si>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</si>
  <si>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</si>
  <si>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</si>
  <si>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</si>
  <si>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</si>
  <si>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</si>
  <si>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</si>
  <si>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</si>
  <si>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</si>
  <si>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</si>
  <si>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</si>
  <si>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</si>
  <si>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</si>
  <si>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</si>
  <si>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</si>
  <si>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</si>
  <si>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</si>
  <si>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</si>
  <si>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</si>
  <si>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</si>
  <si>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</si>
  <si>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</si>
  <si>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</si>
  <si>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</si>
  <si>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</si>
  <si>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</si>
  <si>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</si>
  <si>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</si>
  <si>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</si>
  <si>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</si>
  <si>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</si>
  <si>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</si>
  <si>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</si>
  <si>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</si>
  <si>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</si>
  <si>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</si>
  <si>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</si>
  <si>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</si>
  <si>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</si>
  <si>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</si>
  <si>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</si>
  <si>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</si>
  <si>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</si>
  <si>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</si>
  <si>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</si>
  <si>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</si>
  <si>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</si>
  <si>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</si>
  <si>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</si>
  <si>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</si>
  <si>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</si>
  <si>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</si>
  <si>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</si>
  <si>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</si>
  <si>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</si>
  <si>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</si>
  <si>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</si>
  <si>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</si>
  <si>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</si>
  <si>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</si>
  <si>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</si>
  <si>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</si>
  <si>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</si>
  <si>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</si>
  <si>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</si>
  <si>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</si>
  <si>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</si>
  <si>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</si>
  <si>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</si>
  <si>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</si>
  <si>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</si>
  <si>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</si>
  <si>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</si>
  <si>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</si>
  <si>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</si>
  <si>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</si>
  <si>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</si>
  <si>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</si>
  <si>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</si>
  <si>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</si>
  <si>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</si>
  <si>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</si>
  <si>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</si>
  <si>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</si>
  <si>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</si>
  <si>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</si>
  <si>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</si>
  <si>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</si>
  <si>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</si>
  <si>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</si>
  <si>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</si>
  <si>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</si>
  <si>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</si>
  <si>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</si>
  <si>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</si>
  <si>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</si>
  <si>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</si>
  <si>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</si>
  <si>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</si>
  <si>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</si>
  <si>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</si>
  <si>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</si>
  <si>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</si>
  <si>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</si>
  <si>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</si>
  <si>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</si>
  <si>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</si>
  <si>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</si>
  <si>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</si>
  <si>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</si>
  <si>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</si>
  <si>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</si>
  <si>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</si>
  <si>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</si>
  <si>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</si>
  <si>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</si>
  <si>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</si>
  <si>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</si>
  <si>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</si>
  <si>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</si>
  <si>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</si>
  <si>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</si>
  <si>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</si>
  <si>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</si>
  <si>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</si>
  <si>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</si>
  <si>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</si>
  <si>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</si>
  <si>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</si>
  <si>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</si>
  <si>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</si>
  <si>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</si>
  <si>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</si>
  <si>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</si>
  <si>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</si>
  <si>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</si>
  <si>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</si>
  <si>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</si>
  <si>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</si>
  <si>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</si>
  <si>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</si>
  <si>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</si>
  <si>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</si>
  <si>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</si>
  <si>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</si>
  <si>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</si>
  <si>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</si>
  <si>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</si>
  <si>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</si>
  <si>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</si>
  <si>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</si>
  <si>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</si>
  <si>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</si>
  <si>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</si>
  <si>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</si>
  <si>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</si>
  <si>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</si>
  <si>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</si>
  <si>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</si>
  <si>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</si>
  <si>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</si>
  <si>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</si>
  <si>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</si>
  <si>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</si>
  <si>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</si>
  <si>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</si>
  <si>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</si>
  <si>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</si>
  <si>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</si>
  <si>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</si>
  <si>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</si>
  <si>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</si>
  <si>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</si>
  <si>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</si>
  <si>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</si>
  <si>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</si>
  <si>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</si>
  <si>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</si>
  <si>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</si>
  <si>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</si>
  <si>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</si>
  <si>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</si>
  <si>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</si>
  <si>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</si>
  <si>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</si>
  <si>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</si>
  <si>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</si>
  <si>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</si>
  <si>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</si>
  <si>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</si>
  <si>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</si>
  <si>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</si>
  <si>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</si>
  <si>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</si>
  <si>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</si>
  <si>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</si>
  <si>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</si>
  <si>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</si>
  <si>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</si>
  <si>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</si>
  <si>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</si>
  <si>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</si>
  <si>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</si>
  <si>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</si>
  <si>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</si>
  <si>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</si>
  <si>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</si>
  <si>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</si>
  <si>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</si>
  <si>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</si>
  <si>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</si>
  <si>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</si>
  <si>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</si>
  <si>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</si>
  <si>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</si>
  <si>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</si>
  <si>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</si>
  <si>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</si>
  <si>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</si>
  <si>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</si>
  <si>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</si>
  <si>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</si>
  <si>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</si>
  <si>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</si>
  <si>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</si>
  <si>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</si>
  <si>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</si>
  <si>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</si>
  <si>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</si>
  <si>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</si>
  <si>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</si>
  <si>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</si>
  <si>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</si>
  <si>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</si>
  <si>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</si>
  <si>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</si>
  <si>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</si>
  <si>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</si>
  <si>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</si>
  <si>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</si>
  <si>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</si>
  <si>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</si>
  <si>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</si>
  <si>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</si>
  <si>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</si>
  <si>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</si>
  <si>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</si>
  <si>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</si>
  <si>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</si>
  <si>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</si>
  <si>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</si>
  <si>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</si>
  <si>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</si>
  <si>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</si>
  <si>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</si>
  <si>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</si>
  <si>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</si>
  <si>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</si>
  <si>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</si>
  <si>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</si>
  <si>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</si>
  <si>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</si>
  <si>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</si>
  <si>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</si>
  <si>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</si>
  <si>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</si>
  <si>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</si>
  <si>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</si>
  <si>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</si>
  <si>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</si>
  <si>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</si>
  <si>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</si>
  <si>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</si>
  <si>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</si>
  <si>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</si>
  <si>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</si>
  <si>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</si>
  <si>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</si>
  <si>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</si>
  <si>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</si>
  <si>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</si>
  <si>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</si>
  <si>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</si>
  <si>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</si>
  <si>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</si>
  <si>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</si>
  <si>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</si>
  <si>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</si>
  <si>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</si>
  <si>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</si>
  <si>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</si>
  <si>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</si>
  <si>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</si>
  <si>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</si>
  <si>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</si>
  <si>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</si>
  <si>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</si>
  <si>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</si>
  <si>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</si>
  <si>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</si>
  <si>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</si>
  <si>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</si>
  <si>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</si>
  <si>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</si>
  <si>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</si>
  <si>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</si>
  <si>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</si>
  <si>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</si>
  <si>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</si>
  <si>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</si>
  <si>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</si>
  <si>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</si>
  <si>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</si>
  <si>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</si>
  <si>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</si>
  <si>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</si>
  <si>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</si>
  <si>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</si>
  <si>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</si>
  <si>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</si>
  <si>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</si>
  <si>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</si>
  <si>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</si>
  <si>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</si>
  <si>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</si>
  <si>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</si>
  <si>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</si>
  <si>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</si>
  <si>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</si>
  <si>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</si>
  <si>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</si>
  <si>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</si>
  <si>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</si>
  <si>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</si>
  <si>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</si>
  <si>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</si>
  <si>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</si>
  <si>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</si>
  <si>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</si>
  <si>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</si>
  <si>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</si>
  <si>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</si>
  <si>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</si>
  <si>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</si>
  <si>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</si>
  <si>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</si>
  <si>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</si>
  <si>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</si>
  <si>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</si>
  <si>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</si>
  <si>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</si>
  <si>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</si>
  <si>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</si>
  <si>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</si>
  <si>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</si>
  <si>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</si>
  <si>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</si>
  <si>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</si>
  <si>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</si>
  <si>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</si>
  <si>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</si>
  <si>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</si>
  <si>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</si>
  <si>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</si>
  <si>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</si>
  <si>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</si>
  <si>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</si>
  <si>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</si>
  <si>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</si>
  <si>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</si>
  <si>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</si>
  <si>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</si>
  <si>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</si>
  <si>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</si>
  <si>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</si>
  <si>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</si>
  <si>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</si>
  <si>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</si>
  <si>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</si>
  <si>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</si>
  <si>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</si>
  <si>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</si>
  <si>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</si>
  <si>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</si>
  <si>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</si>
  <si>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</si>
  <si>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</si>
  <si>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</si>
  <si>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</si>
  <si>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</si>
  <si>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</si>
  <si>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</si>
  <si>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</si>
  <si>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</si>
  <si>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</si>
  <si>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</si>
  <si>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</si>
  <si>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</si>
  <si>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</si>
  <si>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</si>
  <si>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</si>
  <si>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</si>
  <si>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</si>
  <si>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</si>
  <si>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</si>
  <si>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</si>
  <si>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</si>
  <si>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</si>
  <si>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</si>
  <si>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</si>
  <si>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</si>
  <si>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</si>
  <si>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</si>
  <si>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</si>
  <si>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</si>
  <si>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</si>
  <si>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</si>
  <si>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</si>
  <si>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</si>
  <si>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</si>
  <si>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</si>
  <si>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</si>
  <si>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</si>
  <si>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</si>
  <si>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</si>
  <si>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</si>
  <si>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</si>
  <si>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</si>
  <si>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</si>
  <si>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</si>
  <si>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</si>
  <si>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</si>
  <si>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</si>
  <si>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</si>
  <si>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</si>
  <si>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</si>
  <si>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</si>
  <si>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</si>
  <si>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</si>
  <si>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</si>
  <si>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</si>
  <si>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</si>
  <si>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</si>
  <si>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</si>
  <si>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</si>
  <si>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</si>
  <si>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</si>
  <si>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</si>
  <si>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</si>
  <si>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</si>
  <si>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</si>
  <si>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</si>
  <si>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</si>
  <si>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</si>
  <si>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</si>
  <si>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</si>
  <si>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</si>
  <si>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</si>
  <si>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</si>
  <si>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</si>
  <si>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</si>
  <si>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</si>
  <si>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</si>
  <si>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</si>
  <si>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</si>
  <si>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</si>
  <si>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</si>
  <si>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</si>
  <si>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</si>
  <si>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</si>
  <si>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</si>
  <si>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</si>
  <si>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</si>
  <si>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</si>
  <si>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</si>
  <si>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</si>
  <si>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</si>
  <si>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</si>
  <si>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</si>
  <si>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</si>
  <si>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</si>
  <si>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</si>
  <si>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</si>
  <si>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</si>
  <si>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</si>
  <si>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</si>
  <si>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</si>
  <si>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</si>
  <si>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</si>
  <si>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</si>
  <si>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</si>
  <si>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</si>
  <si>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</si>
  <si>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</si>
  <si>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</si>
  <si>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</si>
  <si>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</si>
  <si>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</si>
  <si>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</si>
  <si>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</si>
  <si>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</si>
  <si>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</si>
  <si>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</si>
  <si>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</si>
  <si>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</si>
  <si>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</si>
  <si>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</si>
  <si>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</si>
  <si>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</si>
  <si>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</si>
  <si>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</si>
  <si>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</si>
  <si>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</si>
  <si>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</si>
  <si>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</si>
  <si>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</si>
  <si>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</si>
  <si>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</si>
  <si>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</si>
  <si>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</si>
  <si>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</si>
  <si>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</si>
  <si>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</si>
  <si>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</si>
  <si>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</si>
  <si>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</si>
  <si>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</si>
  <si>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</si>
  <si>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</si>
  <si>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</si>
  <si>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</si>
  <si>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</si>
  <si>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</si>
  <si>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</si>
  <si>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</si>
  <si>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</si>
  <si>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</si>
  <si>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</si>
  <si>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</si>
  <si>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</si>
  <si>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</si>
  <si>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</si>
  <si>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</si>
  <si>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</si>
  <si>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</si>
  <si>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</si>
  <si>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</si>
  <si>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</si>
  <si>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</si>
  <si>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</si>
  <si>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</si>
  <si>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</si>
  <si>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</si>
  <si>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</si>
  <si>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</si>
  <si>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</si>
  <si>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</si>
  <si>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</si>
  <si>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</si>
  <si>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</si>
  <si>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</si>
  <si>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</si>
  <si>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</si>
  <si>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</si>
  <si>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</si>
  <si>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</si>
  <si>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</si>
  <si>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</si>
  <si>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</si>
  <si>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</si>
  <si>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</si>
  <si>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</si>
  <si>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</si>
  <si>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</si>
  <si>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</si>
  <si>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</si>
  <si>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</si>
  <si>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</si>
  <si>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</si>
  <si>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</si>
  <si>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</si>
  <si>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</si>
  <si>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</si>
  <si>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</si>
  <si>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</si>
  <si>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</si>
  <si>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</si>
  <si>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</si>
  <si>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</si>
  <si>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</si>
  <si>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</si>
  <si>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</si>
  <si>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</si>
  <si>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</si>
  <si>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</si>
  <si>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</si>
  <si>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</si>
  <si>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</si>
  <si>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</si>
  <si>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</si>
  <si>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</si>
  <si>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</si>
  <si>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</si>
  <si>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</si>
  <si>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</si>
  <si>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</si>
  <si>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</si>
  <si>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</si>
  <si>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</si>
  <si>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</si>
  <si>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</si>
  <si>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</si>
  <si>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</si>
  <si>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</si>
  <si>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</si>
  <si>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</si>
  <si>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</si>
  <si>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</si>
  <si>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</si>
  <si>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</si>
  <si>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</si>
  <si>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</si>
  <si>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Fisk Alloy, Inc.</t>
  </si>
  <si>
    <t>32470</t>
  </si>
  <si>
    <t>iPoint Conflict Minerals Platform</t>
  </si>
  <si>
    <t>10 Thomas Road North</t>
  </si>
  <si>
    <t>Joe Rodriguez</t>
  </si>
  <si>
    <t>973-825-8466</t>
  </si>
  <si>
    <t>Jim Mentekidis</t>
  </si>
  <si>
    <t>VP Produiction Management</t>
  </si>
  <si>
    <t>973-825-8439</t>
  </si>
  <si>
    <t>100%</t>
  </si>
  <si>
    <t>SPCC</t>
  </si>
  <si>
    <t>Toquepala</t>
  </si>
  <si>
    <t>Xstrata</t>
  </si>
  <si>
    <t>joe.rodriguez@fiskalloy.com</t>
  </si>
  <si>
    <t>jim.mentekidis@fiskalloy.com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</si>
</sst>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jim.mentekidis@fiskalloy.com" TargetMode="External"/><Relationship Id="rId1" Type="http://schemas.openxmlformats.org/officeDocument/2006/relationships/hyperlink" Target="mailto:joe.rodriguez@fiskalloy.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E6415419-B741-4257-9F20-0A9BAA3055F5}"/>
    </customSheetView>
    <customSheetView guid="{C59130F4-2E03-5E48-94CE-6E4A0484DB9E}" showAutoFilter="1">
      <selection activeCell="E4" sqref="E4"/>
      <pageMargins left="0" right="0" top="0" bottom="0" header="0" footer="0"/>
      <pageSetup paperSize="9" orientation="portrait"/>
      <headerFooter alignWithMargins="0"/>
      <autoFilter ref="B1:N1" xr:uid="{CFAA95C0-1C73-47EB-84F0-53CA1C09FB3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2AD8A7F4-DC80-4623-A40F-46421587021B}"/>
    </customSheetView>
    <customSheetView guid="{C59130F4-2E03-5E48-94CE-6E4A0484DB9E}" showAutoFilter="1">
      <selection activeCell="C1" sqref="C1:D65536"/>
      <pageMargins left="0" right="0" top="0" bottom="0" header="0" footer="0"/>
      <pageSetup orientation="portrait"/>
      <headerFooter alignWithMargins="0"/>
      <autoFilter ref="B1:C1" xr:uid="{695BE7C7-CAA1-483A-B4C1-367697549529}"/>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85" zoomScaleNormal="85" workbookViewId="0">
      <selection activeCell="D2" sqref="D2:J2"/>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7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7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Select Minerals/Metals in Scope (*):</v>
      </c>
      <c r="C12" s="112"/>
      <c r="D12" s="372" t="s">
        <v>40</v>
      </c>
      <c r="E12" s="428" t="s">
        <v>18641</v>
      </c>
      <c r="F12" s="42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7" t="e">
        <f ca="1">OFFSET(L!$C$1,MATCH("Declaration"&amp;ADDRESS(ROW(),COLUMN(),4),L!$A:$A,0)-1,SL,,)</f>
        <v>#N/A</v>
      </c>
      <c r="C13" s="112"/>
      <c r="D13" s="372" t="s">
        <v>18644</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12" t="s">
        <v>20052</v>
      </c>
      <c r="E16" s="413"/>
      <c r="F16" s="413"/>
      <c r="G16" s="413"/>
      <c r="H16" s="413"/>
      <c r="I16" s="413"/>
      <c r="J16" s="414"/>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12" t="s">
        <v>20053</v>
      </c>
      <c r="E17" s="413"/>
      <c r="F17" s="413"/>
      <c r="G17" s="413"/>
      <c r="H17" s="413"/>
      <c r="I17" s="413"/>
      <c r="J17" s="414"/>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12" t="s">
        <v>20054</v>
      </c>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12" t="s">
        <v>20055</v>
      </c>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4" t="s">
        <v>20064</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2" t="s">
        <v>20056</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2" t="s">
        <v>20057</v>
      </c>
      <c r="E22" s="413"/>
      <c r="F22" s="413"/>
      <c r="G22" s="413"/>
      <c r="H22" s="413"/>
      <c r="I22" s="413"/>
      <c r="J22" s="414"/>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12" t="s">
        <v>20058</v>
      </c>
      <c r="E23" s="413"/>
      <c r="F23" s="413"/>
      <c r="G23" s="413"/>
      <c r="H23" s="413"/>
      <c r="I23" s="413"/>
      <c r="J23" s="414"/>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4" t="s">
        <v>20065</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2" t="s">
        <v>20059</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0">
        <v>45772</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7" t="s">
        <v>22</v>
      </c>
      <c r="E30" s="438"/>
      <c r="F30" s="8"/>
      <c r="G30" s="400"/>
      <c r="H30" s="401"/>
      <c r="I30" s="401"/>
      <c r="J30" s="402"/>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Copper(*)</v>
      </c>
      <c r="C31" s="28"/>
      <c r="D31" s="437" t="s">
        <v>25</v>
      </c>
      <c r="E31" s="438"/>
      <c r="F31" s="8"/>
      <c r="G31" s="400"/>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37" t="s">
        <v>22</v>
      </c>
      <c r="E32" s="438"/>
      <c r="F32" s="8"/>
      <c r="G32" s="400"/>
      <c r="H32" s="401"/>
      <c r="I32" s="401"/>
      <c r="J32" s="402"/>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37" t="s">
        <v>22</v>
      </c>
      <c r="E33" s="438"/>
      <c r="F33" s="8"/>
      <c r="G33" s="400"/>
      <c r="H33" s="401"/>
      <c r="I33" s="401"/>
      <c r="J33" s="402"/>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37" t="s">
        <v>22</v>
      </c>
      <c r="E34" s="438"/>
      <c r="F34" s="8"/>
      <c r="G34" s="400"/>
      <c r="H34" s="401"/>
      <c r="I34" s="401"/>
      <c r="J34" s="402"/>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37" t="s">
        <v>25</v>
      </c>
      <c r="E35" s="438"/>
      <c r="F35" s="8"/>
      <c r="G35" s="400"/>
      <c r="H35" s="401"/>
      <c r="I35" s="401"/>
      <c r="J35" s="402"/>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7"/>
      <c r="E42" s="438"/>
      <c r="F42" s="8"/>
      <c r="G42" s="400"/>
      <c r="H42" s="401"/>
      <c r="I42" s="401"/>
      <c r="J42" s="402"/>
      <c r="K42" s="29"/>
      <c r="L42" s="105"/>
      <c r="P42" s="301" t="str">
        <f>IF(OR(D30="No",D30="Unknown",D30="Not declaring"),"",O30)</f>
        <v/>
      </c>
      <c r="R42" s="2"/>
      <c r="S42" s="302" t="str">
        <f>IF(COUNTIF(D42,"Yes"),AA12,"")</f>
        <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2.5">
      <c r="A43" s="34"/>
      <c r="B43" s="300" t="str">
        <f t="shared" si="36"/>
        <v>Copper(*)</v>
      </c>
      <c r="C43" s="28"/>
      <c r="D43" s="437" t="s">
        <v>25</v>
      </c>
      <c r="E43" s="438"/>
      <c r="F43" s="8"/>
      <c r="G43" s="400"/>
      <c r="H43" s="401"/>
      <c r="I43" s="401"/>
      <c r="J43" s="402"/>
      <c r="K43" s="29"/>
      <c r="L43" s="105"/>
      <c r="P43" s="301" t="str">
        <f t="shared" ref="P43:P51" si="45">IF(OR(D31="No",D31="Unknown",D31="Not declaring"),"",O31)</f>
        <v>(*)</v>
      </c>
      <c r="R43" s="2"/>
      <c r="S43" s="302" t="str">
        <f t="shared" ref="S43:S51" si="46">IF(COUNTIF(D43,"Yes"),AA13,"")</f>
        <v>Copper</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Nickel</v>
      </c>
      <c r="X43" s="303" t="str">
        <f t="shared" ref="X43" si="50">IF(W43="",W43,IF(W42="",W42,IF(W42&gt;W43,W42,W43)))</f>
        <v>Nickel</v>
      </c>
      <c r="Y43" s="303" t="str">
        <f t="shared" ref="Y43" si="51">IF(X44="",X43,IF(X43="",X44,IF(X43&gt;X44,X44,X43)))</f>
        <v>Nickel</v>
      </c>
      <c r="Z43" s="303" t="str">
        <f t="shared" ref="Z43" si="52">IF(Y43="",Y43,IF(Y42="",Y42,IF(Y42&gt;Y43,Y42,Y43)))</f>
        <v>Nickel</v>
      </c>
      <c r="AA43" s="303" t="str">
        <f t="shared" ref="AA43" si="53">IF(Z44="",Z43,IF(Z43="",Z44,IF(Z43&gt;Z44,Z44,Z43)))</f>
        <v>Nickel</v>
      </c>
      <c r="AB43" s="303" t="str">
        <f t="shared" ref="AB43" si="54">IF(AA43="",AA43,IF(AA42="",AA42,IF(AA42&gt;AA43,AA42,AA43)))</f>
        <v>Nickel</v>
      </c>
      <c r="AC43" s="303" t="str">
        <f t="shared" ref="AC43" si="55">IF(AB44="",AB43,IF(AB43="",AB44,IF(AB43&gt;AB44,AB44,AB43)))</f>
        <v>Nickel</v>
      </c>
      <c r="AD43" s="2"/>
      <c r="AE43" s="2"/>
      <c r="AF43" s="2"/>
      <c r="AG43" s="2"/>
    </row>
    <row r="44" spans="1:33" ht="22.5">
      <c r="A44" s="34"/>
      <c r="B44" s="300" t="str">
        <f t="shared" si="36"/>
        <v>Graphite</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Lithium</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37"/>
      <c r="E46" s="438"/>
      <c r="F46" s="8"/>
      <c r="G46" s="400"/>
      <c r="H46" s="401"/>
      <c r="I46" s="401"/>
      <c r="J46" s="402"/>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37" t="s">
        <v>25</v>
      </c>
      <c r="E47" s="438"/>
      <c r="F47" s="8"/>
      <c r="G47" s="400"/>
      <c r="H47" s="401"/>
      <c r="I47" s="401"/>
      <c r="J47" s="402"/>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8.7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c r="E54" s="438"/>
      <c r="F54" s="40"/>
      <c r="G54" s="400"/>
      <c r="H54" s="401"/>
      <c r="I54" s="401"/>
      <c r="J54" s="402"/>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37" t="s">
        <v>22</v>
      </c>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37" t="s">
        <v>22</v>
      </c>
      <c r="E59" s="438"/>
      <c r="F59" s="40"/>
      <c r="G59" s="400"/>
      <c r="H59" s="401"/>
      <c r="I59" s="401"/>
      <c r="J59" s="402"/>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1.5">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37" t="s">
        <v>22</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37" t="s">
        <v>22</v>
      </c>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37" t="s">
        <v>20060</v>
      </c>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7" t="s">
        <v>20060</v>
      </c>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37" t="s">
        <v>25</v>
      </c>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37" t="s">
        <v>25</v>
      </c>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37" t="s">
        <v>25</v>
      </c>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37" t="s">
        <v>25</v>
      </c>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22</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37" t="s">
        <v>22</v>
      </c>
      <c r="E117" s="438"/>
      <c r="F117" s="50"/>
      <c r="G117" s="454"/>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37" t="s">
        <v>22</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37" t="s">
        <v>22</v>
      </c>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25</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32</v>
      </c>
      <c r="E133" s="463"/>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37" t="s">
        <v>25</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35ECBA95-587C-4360-A3F7-EC140FE7FC73}"/>
    <hyperlink ref="D24" r:id="rId2" xr:uid="{5B187788-A32A-48FA-BD58-DDDE3964D952}"/>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85" zoomScaleNormal="85" workbookViewId="0">
      <pane ySplit="3" topLeftCell="A6" activePane="bottomLeft" state="frozen"/>
      <selection activeCell="B24" sqref="B24:J24"/>
      <selection pane="bottomLeft" activeCell="D15" sqref="D15"/>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25">
      <c r="A5" s="198"/>
      <c r="B5" s="304" t="s">
        <v>18641</v>
      </c>
      <c r="C5" s="152"/>
      <c r="D5" s="149" t="s">
        <v>20061</v>
      </c>
      <c r="E5" s="149" t="s">
        <v>1643</v>
      </c>
      <c r="F5" s="149"/>
      <c r="G5" s="149" t="s">
        <v>20062</v>
      </c>
      <c r="H5" s="206" t="s">
        <v>8792</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PE</v>
      </c>
      <c r="T5" s="155" t="str">
        <f ca="1">IF(B5="","",IF(ISERROR(MATCH($J5,SorP!$B$1:$B$6226,0)),"",INDIRECT("'SorP'!$A$"&amp;MATCH($S5&amp;$J5,SorP!C:C,0))))</f>
        <v/>
      </c>
      <c r="U5" s="168"/>
      <c r="V5" s="169" t="e">
        <f>IF(C5="",NA(),MATCH($B5&amp;$C5,'Smelter Look-up'!$J:$J,0))</f>
        <v>#N/A</v>
      </c>
      <c r="X5" s="170">
        <f t="shared" ref="X5:X12" si="1">IF(AND(C5="Smelter not listed",OR(LEN(D5)=0,LEN(E5)=0)),1,0)</f>
        <v>0</v>
      </c>
      <c r="AB5" s="314" t="str">
        <f t="shared" ref="AB5:AB12" si="2">IF(C5="","",B5)</f>
        <v/>
      </c>
    </row>
    <row r="6" spans="1:34" s="170" customFormat="1" ht="20.25">
      <c r="A6" s="198"/>
      <c r="B6" s="304" t="s">
        <v>18642</v>
      </c>
      <c r="C6" s="152"/>
      <c r="D6" s="149" t="s">
        <v>20063</v>
      </c>
      <c r="E6" s="149" t="s">
        <v>116</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NO</v>
      </c>
      <c r="T6" s="155" t="str">
        <f ca="1">IF(B6="","",IF(ISERROR(MATCH($J6,SorP!$B$1:$B$6226,0)),"",INDIRECT("'SorP'!$A$"&amp;MATCH($S6&amp;$J6,SorP!C:C,0))))</f>
        <v/>
      </c>
      <c r="U6" s="168"/>
      <c r="V6" s="169" t="e">
        <f>IF(C6="",NA(),MATCH($B6&amp;$C6,'Smelter Look-up'!$J:$J,0))</f>
        <v>#N/A</v>
      </c>
      <c r="X6" s="170">
        <f t="shared" si="1"/>
        <v>0</v>
      </c>
      <c r="AB6" s="314" t="str">
        <f t="shared" si="2"/>
        <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
      </c>
      <c r="D2" s="133">
        <f ca="1">IF(H125=0,"0",H125)</f>
        <v>2</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Fisk Alloy, Inc.</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Joe Rodriguez</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joe.rodriguez@fiskalloy.com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973-825-8466</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Jim Mentekidis</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jim.mentekidis@fiskalloy.com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45772</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100%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100%</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Yes</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No</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Complete</v>
      </c>
      <c r="D98" s="321" t="str">
        <f>IF(H98=1,"Click here to answer question (C)","")</f>
        <v/>
      </c>
      <c r="E98" s="16"/>
      <c r="F98" s="84">
        <f>F39</f>
        <v>0</v>
      </c>
      <c r="G98" s="62">
        <f t="shared" si="14"/>
        <v>1</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No</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No</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Provide list of specified mineral smelters contributing material to supply chain on Smelter List tab</v>
      </c>
      <c r="D115" s="379" t="str">
        <f>IF(H115=0,"","Click here to provide smelter information")</f>
        <v>Click here to provide smelter information</v>
      </c>
      <c r="E115" s="16"/>
      <c r="F115" s="84">
        <f>F40</f>
        <v>1</v>
      </c>
      <c r="G115" s="62">
        <f>IF(AND(COUNTIF(SmelterIdetifiedForMetal,A115)&gt;0,COUNTIF('Smelter List'!AB$5:AB$2504,A115)&gt;0),0,1)</f>
        <v>1</v>
      </c>
      <c r="H115" s="63">
        <f>F115*G115</f>
        <v>1</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Provide list of specified mineral smelters contributing material to supply chain on Smelter List tab</v>
      </c>
      <c r="D119" s="379" t="str">
        <f t="shared" si="51"/>
        <v>Click here to provide smelter information</v>
      </c>
      <c r="E119" s="16"/>
      <c r="F119" s="84">
        <f t="shared" si="52"/>
        <v>1</v>
      </c>
      <c r="G119" s="62">
        <f>IF(AND(COUNTIF(SmelterIdetifiedForMetal,A119)&gt;0,COUNTIF('Smelter List'!AB$5:AB$2504,A119)&gt;0),0,1)</f>
        <v>1</v>
      </c>
      <c r="H119" s="63">
        <f t="shared" si="53"/>
        <v>1</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2</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Rodriguez, Joe</cp:lastModifiedBy>
  <cp:revision/>
  <dcterms:created xsi:type="dcterms:W3CDTF">2010-06-21T21:00:23Z</dcterms:created>
  <dcterms:modified xsi:type="dcterms:W3CDTF">2025-05-13T11:00:39Z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