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codeName="ThisWorkbook" autoCompressPictures="0"/>
  <mc:AlternateContent xmlns:mc="http://schemas.openxmlformats.org/markup-compatibility/2006">
    <mc:Choice Requires="x15">
      <x15ac:absPath xmlns:x15ac="http://schemas.microsoft.com/office/spreadsheetml/2010/11/ac" url="\\FISK-IO-FS17\Users$\Users\joe.rodriguez\Downloads\"/>
    </mc:Choice>
  </mc:AlternateContent>
  <xr:revisionPtr revIDLastSave="0" documentId="8_{B1D1E179-8994-431C-9D13-BE9F76744915}"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J34" i="6"/>
  <c r="I35" i="6"/>
  <c r="J42" i="6"/>
  <c r="J50" i="6"/>
  <c r="I51" i="6"/>
  <c r="J59" i="6"/>
  <c r="I60" i="6"/>
  <c r="C5" i="7"/>
  <c r="D1" i="6"/>
  <c r="J6" i="6"/>
  <c r="J7" i="6"/>
  <c r="C7" i="6"/>
  <c r="J8" i="6"/>
  <c r="C8" i="6"/>
  <c r="J9" i="6"/>
  <c r="C9" i="6"/>
  <c r="J10" i="6"/>
  <c r="C10" i="6"/>
  <c r="J11" i="6"/>
  <c r="C11" i="6"/>
  <c r="J12" i="6"/>
  <c r="C12" i="6"/>
  <c r="I24" i="6"/>
  <c r="J35" i="6"/>
  <c r="I36" i="6"/>
  <c r="I44" i="6"/>
  <c r="J51" i="6"/>
  <c r="I52" i="6"/>
  <c r="J60" i="6"/>
  <c r="I62" i="6"/>
  <c r="I65" i="6"/>
  <c r="F5" i="7"/>
  <c r="B10" i="4"/>
  <c r="A6" i="6"/>
  <c r="B18" i="4"/>
  <c r="A10" i="6"/>
  <c r="G25" i="4"/>
  <c r="B44" i="4"/>
  <c r="A29" i="6"/>
  <c r="B49" i="4"/>
  <c r="A33" i="6"/>
  <c r="B85" i="4"/>
  <c r="A60" i="6"/>
  <c r="A4" i="5"/>
  <c r="I4" i="5"/>
  <c r="I14" i="6"/>
  <c r="C14" i="6" s="1"/>
  <c r="I15" i="6"/>
  <c r="I16" i="6"/>
  <c r="I17" i="6"/>
  <c r="C17" i="6" s="1"/>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c r="B41" i="6"/>
  <c r="G41" i="6"/>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C19" i="6" s="1"/>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C21" i="6" s="1"/>
  <c r="B36" i="6"/>
  <c r="G36" i="6"/>
  <c r="G20" i="6"/>
  <c r="H20" i="6"/>
  <c r="C20" i="6" s="1"/>
  <c r="B45" i="6"/>
  <c r="G45" i="6"/>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C41" i="6" s="1"/>
  <c r="D41" i="6"/>
  <c r="F36" i="6"/>
  <c r="H36" i="6"/>
  <c r="C36" i="6" s="1"/>
  <c r="D36" i="6"/>
  <c r="F51" i="6"/>
  <c r="H51" i="6"/>
  <c r="C51" i="6" s="1"/>
  <c r="D51" i="6"/>
  <c r="F45" i="6"/>
  <c r="H45" i="6"/>
  <c r="C45" i="6" s="1"/>
  <c r="D45" i="6"/>
  <c r="F66" i="6"/>
  <c r="F50" i="6"/>
  <c r="H50" i="6"/>
  <c r="C50" i="6" s="1"/>
  <c r="D50" i="6"/>
  <c r="F30" i="6"/>
  <c r="H25" i="6"/>
  <c r="C25" i="6" s="1"/>
  <c r="F35" i="6"/>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F42" i="6"/>
  <c r="H42" i="6"/>
  <c r="C42" i="6" s="1"/>
  <c r="D42" i="6"/>
  <c r="H27" i="6"/>
  <c r="C27" i="6" s="1"/>
  <c r="F68" i="6"/>
  <c r="F32" i="6"/>
  <c r="F52" i="6"/>
  <c r="H52" i="6"/>
  <c r="C52" i="6" s="1"/>
  <c r="D52" i="6"/>
  <c r="F47" i="6"/>
  <c r="F37" i="6"/>
  <c r="H37" i="6"/>
  <c r="C37" i="6" s="1"/>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H22" i="6"/>
  <c r="C22" i="6" s="1"/>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F44" i="6"/>
  <c r="H44" i="6"/>
  <c r="C44" i="6" s="1"/>
  <c r="D44" i="6"/>
  <c r="F34" i="6"/>
  <c r="F39" i="6"/>
  <c r="F54" i="6"/>
  <c r="F65" i="6"/>
  <c r="F49" i="6"/>
  <c r="F29" i="6"/>
  <c r="H29" i="6"/>
  <c r="C29" i="6" s="1"/>
  <c r="H39" i="6"/>
  <c r="C39" i="6" s="1"/>
  <c r="D39" i="6"/>
  <c r="H26" i="6"/>
  <c r="C26" i="6" s="1"/>
  <c r="H24" i="6"/>
  <c r="C24" i="6" s="1"/>
  <c r="H35" i="6"/>
  <c r="C35" i="6" s="1"/>
  <c r="D35" i="6"/>
  <c r="H40" i="6"/>
  <c r="C40" i="6" s="1"/>
  <c r="D40" i="6"/>
  <c r="H46" i="6"/>
  <c r="C46" i="6" s="1"/>
  <c r="D46" i="6"/>
  <c r="H31" i="6"/>
  <c r="C31" i="6" s="1"/>
  <c r="D29" i="6"/>
  <c r="H30" i="6"/>
  <c r="C30" i="6" s="1"/>
  <c r="H49" i="6"/>
  <c r="C49" i="6" s="1"/>
  <c r="D49" i="6"/>
  <c r="H34" i="6"/>
  <c r="C34" i="6" s="1"/>
  <c r="H32" i="6"/>
  <c r="C32" i="6" s="1"/>
  <c r="D19" i="6"/>
  <c r="K65" i="6"/>
  <c r="D24" i="6"/>
  <c r="D27" i="6"/>
  <c r="D20" i="6"/>
  <c r="C2" i="6"/>
  <c r="B2" i="6"/>
  <c r="F57" i="6"/>
  <c r="H57" i="6"/>
  <c r="C57" i="6" s="1"/>
  <c r="H54" i="6"/>
  <c r="C54" i="6" s="1"/>
  <c r="F62" i="6"/>
  <c r="H62" i="6"/>
  <c r="C62" i="6" s="1"/>
  <c r="F58" i="6"/>
  <c r="H58" i="6"/>
  <c r="C58" i="6" s="1"/>
  <c r="F60" i="6"/>
  <c r="H60" i="6"/>
  <c r="C60" i="6" s="1"/>
  <c r="F63" i="6"/>
  <c r="H63" i="6"/>
  <c r="C63" i="6" s="1"/>
  <c r="F59" i="6"/>
  <c r="H59" i="6"/>
  <c r="C59" i="6" s="1"/>
  <c r="F55" i="6"/>
  <c r="D25" i="6"/>
  <c r="D26" i="6"/>
  <c r="D21" i="6"/>
  <c r="D22" i="6"/>
  <c r="H47" i="6"/>
  <c r="C47" i="6" s="1"/>
  <c r="D47" i="6"/>
  <c r="D34" i="6"/>
  <c r="D31" i="6"/>
  <c r="D30" i="6"/>
  <c r="D32" i="6"/>
  <c r="D60" i="6"/>
  <c r="D58" i="6"/>
  <c r="D63" i="6"/>
  <c r="D62" i="6"/>
  <c r="D54" i="6"/>
  <c r="D57" i="6"/>
  <c r="F56" i="6"/>
  <c r="H56" i="6"/>
  <c r="C56" i="6" s="1"/>
  <c r="H55" i="6"/>
  <c r="C55" i="6" s="1"/>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S5" i="5" s="1"/>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 r="T6" i="5" l="1"/>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<sst xmlns="http://schemas.openxmlformats.org/spreadsheetml/2006/main" count="22549" uniqueCount="15891">
  <si>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</si>
  <si>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</si>
  <si>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</si>
  <si>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</si>
  <si>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</si>
  <si>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</si>
  <si>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</si>
  <si>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</si>
  <si>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</si>
  <si>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</si>
  <si>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</si>
  <si>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</si>
  <si>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</si>
  <si>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</si>
  <si>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</si>
  <si>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</si>
  <si>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</si>
  <si>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</si>
  <si>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</si>
  <si>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</si>
  <si>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</si>
  <si>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</si>
  <si>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</si>
  <si>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</si>
  <si>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</si>
  <si>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</si>
  <si>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</si>
  <si>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</si>
  <si>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</si>
  <si>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</si>
  <si>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</si>
  <si>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</si>
  <si>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</si>
  <si>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</si>
  <si>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</si>
  <si>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</si>
  <si>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</si>
  <si>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</si>
  <si>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</si>
  <si>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</si>
  <si>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</si>
  <si>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</si>
  <si>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</si>
  <si>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</si>
  <si>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</si>
  <si>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</si>
  <si>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</si>
  <si>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</si>
  <si>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</si>
  <si>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</si>
  <si>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</si>
  <si>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</si>
  <si>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</si>
  <si>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</si>
  <si>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</si>
  <si>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</si>
  <si>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</si>
  <si>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</si>
  <si>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</si>
  <si>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</si>
  <si>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</si>
  <si>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</si>
  <si>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</si>
  <si>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</si>
  <si>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</si>
  <si>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</si>
  <si>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</si>
  <si>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</si>
  <si>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</si>
  <si>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</si>
  <si>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</si>
  <si>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</si>
  <si>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</si>
  <si>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</si>
  <si>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</si>
  <si>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</si>
  <si>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</si>
  <si>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</si>
  <si>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</si>
  <si>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</si>
  <si>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</si>
  <si>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</si>
  <si>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</si>
  <si>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</si>
  <si>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</si>
  <si>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</si>
  <si>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</si>
  <si>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</si>
  <si>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</si>
  <si>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</si>
  <si>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</si>
  <si>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</si>
  <si>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</si>
  <si>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</si>
  <si>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</si>
  <si>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</si>
  <si>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</si>
  <si>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</si>
  <si>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</si>
  <si>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</si>
  <si>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</si>
  <si>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</si>
  <si>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</si>
  <si>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</si>
  <si>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</si>
  <si>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</si>
  <si>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</si>
  <si>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</si>
  <si>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</si>
  <si>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</si>
  <si>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</si>
  <si>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</si>
  <si>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</si>
  <si>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</si>
  <si>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</si>
  <si>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</si>
  <si>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</si>
  <si>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</si>
  <si>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</si>
  <si>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</si>
  <si>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</si>
  <si>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</si>
  <si>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</si>
  <si>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</si>
  <si>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</si>
  <si>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</si>
  <si>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</si>
  <si>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</si>
  <si>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</si>
  <si>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</si>
  <si>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</si>
  <si>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</si>
  <si>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</si>
  <si>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</si>
  <si>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</si>
  <si>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</si>
  <si>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</si>
  <si>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</si>
  <si>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</si>
  <si>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</si>
  <si>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</si>
  <si>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</si>
  <si>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</si>
  <si>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</si>
  <si>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</si>
  <si>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</si>
  <si>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</si>
  <si>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</si>
  <si>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</si>
  <si>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</si>
  <si>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</si>
  <si>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</si>
  <si>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</si>
  <si>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</si>
  <si>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</si>
  <si>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</si>
  <si>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</si>
  <si>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</si>
  <si>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</si>
  <si>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</si>
  <si>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</si>
  <si>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</si>
  <si>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</si>
  <si>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</si>
  <si>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</si>
  <si>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</si>
  <si>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</si>
  <si>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</si>
  <si>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</si>
  <si>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</si>
  <si>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</si>
  <si>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</si>
  <si>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</si>
  <si>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</si>
  <si>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</si>
  <si>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</si>
  <si>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</si>
  <si>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</si>
  <si>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</si>
  <si>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</si>
  <si>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</si>
  <si>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</si>
  <si>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</si>
  <si>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</si>
  <si>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</si>
  <si>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</si>
  <si>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</si>
  <si>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</si>
  <si>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</si>
  <si>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</si>
  <si>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</si>
  <si>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</si>
  <si>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</si>
  <si>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</si>
  <si>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</si>
  <si>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</si>
  <si>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</si>
  <si>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</si>
  <si>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</si>
  <si>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</si>
  <si>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</si>
  <si>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</si>
  <si>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</si>
  <si>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</si>
  <si>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</si>
  <si>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</si>
  <si>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</si>
  <si>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</si>
  <si>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</si>
  <si>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</si>
  <si>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</si>
  <si>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</si>
  <si>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</si>
  <si>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</si>
  <si>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</si>
  <si>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</si>
  <si>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</si>
  <si>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</si>
  <si>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</si>
  <si>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</si>
  <si>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</si>
  <si>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</si>
  <si>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</si>
  <si>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</si>
  <si>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</si>
  <si>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</si>
  <si>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</si>
  <si>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</si>
  <si>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</si>
  <si>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</si>
  <si>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</si>
  <si>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</si>
  <si>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</si>
  <si>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</si>
  <si>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</si>
  <si>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</si>
  <si>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</si>
  <si>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</si>
  <si>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</si>
  <si>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</si>
  <si>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</si>
  <si>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</si>
  <si>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</si>
  <si>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</si>
  <si>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</si>
  <si>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</si>
  <si>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</si>
  <si>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</si>
  <si>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</si>
  <si>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</si>
  <si>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</si>
  <si>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</si>
  <si>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</si>
  <si>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</si>
  <si>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</si>
  <si>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</si>
  <si>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</si>
  <si>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</si>
  <si>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</si>
  <si>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</si>
  <si>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</si>
  <si>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</si>
  <si>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</si>
  <si>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</si>
  <si>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</si>
  <si>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</si>
  <si>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</si>
  <si>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</si>
  <si>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</si>
  <si>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</si>
  <si>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</si>
  <si>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</si>
  <si>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</si>
  <si>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</si>
  <si>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</si>
  <si>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</si>
  <si>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</si>
  <si>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</si>
  <si>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</si>
  <si>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</si>
  <si>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</si>
  <si>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</si>
  <si>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</si>
  <si>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</si>
  <si>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</si>
  <si>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</si>
  <si>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</si>
  <si>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</si>
  <si>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</si>
  <si>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</si>
  <si>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</si>
  <si>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</si>
  <si>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</si>
  <si>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</si>
  <si>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</si>
  <si>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</si>
  <si>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</si>
  <si>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</si>
  <si>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</si>
  <si>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</si>
  <si>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</si>
  <si>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</si>
  <si>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</si>
  <si>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</si>
  <si>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</si>
  <si>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</si>
  <si>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</si>
  <si>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</si>
  <si>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</si>
  <si>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</si>
  <si>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</si>
  <si>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</si>
  <si>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</si>
  <si>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</si>
  <si>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</si>
  <si>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</si>
  <si>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</si>
  <si>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</si>
  <si>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</si>
  <si>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</si>
  <si>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</si>
  <si>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</si>
  <si>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</si>
  <si>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</si>
  <si>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</si>
  <si>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</si>
  <si>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</si>
  <si>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</si>
  <si>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</si>
  <si>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</si>
  <si>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</si>
  <si>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</si>
  <si>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</si>
  <si>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</si>
  <si>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</si>
  <si>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</si>
  <si>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</si>
  <si>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</si>
  <si>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</si>
  <si>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</si>
  <si>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</si>
  <si>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</si>
  <si>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</si>
  <si>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</si>
  <si>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</si>
  <si>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</si>
  <si>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</si>
  <si>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</si>
  <si>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</si>
  <si>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</si>
  <si>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</si>
  <si>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</si>
  <si>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</si>
  <si>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</si>
  <si>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</si>
  <si>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</si>
  <si>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</si>
  <si>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</si>
  <si>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</si>
  <si>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</si>
  <si>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</si>
  <si>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</si>
  <si>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</si>
  <si>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</si>
  <si>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</si>
  <si>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</si>
  <si>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</si>
  <si>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</si>
  <si>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</si>
  <si>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</si>
  <si>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</si>
  <si>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</si>
  <si>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</si>
  <si>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</si>
  <si>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</si>
  <si>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</si>
  <si>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</si>
  <si>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</si>
  <si>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</si>
  <si>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</si>
  <si>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</si>
  <si>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</si>
  <si>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</si>
  <si>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</si>
  <si>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</si>
  <si>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</si>
  <si>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</si>
  <si>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</si>
  <si>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</si>
  <si>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</si>
  <si>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</si>
  <si>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</si>
  <si>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</si>
  <si>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</si>
  <si>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</si>
  <si>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</si>
  <si>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</si>
  <si>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</si>
  <si>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</si>
  <si>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</si>
  <si>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</si>
  <si>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</si>
  <si>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</si>
  <si>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</si>
  <si>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</si>
  <si>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</si>
  <si>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</si>
  <si>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</si>
  <si>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</si>
  <si>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</si>
  <si>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</si>
  <si>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</si>
  <si>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</si>
  <si>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</si>
  <si>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</si>
  <si>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</si>
  <si>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</si>
  <si>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</si>
  <si>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</si>
  <si>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</si>
  <si>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</si>
  <si>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</si>
  <si>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</si>
  <si>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</si>
  <si>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</si>
  <si>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</si>
  <si>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</si>
  <si>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</si>
  <si>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</si>
  <si>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</si>
  <si>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</si>
  <si>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</si>
  <si>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</si>
  <si>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</si>
  <si>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</si>
  <si>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</si>
  <si>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</si>
  <si>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</si>
  <si>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</si>
  <si>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</si>
  <si>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</si>
  <si>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</si>
  <si>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</si>
  <si>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</si>
  <si>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</si>
  <si>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</si>
  <si>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</si>
  <si>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</si>
  <si>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</si>
  <si>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</si>
  <si>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</si>
  <si>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</si>
  <si>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</si>
  <si>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</si>
  <si>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</si>
  <si>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</si>
  <si>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</si>
  <si>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</si>
  <si>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</si>
  <si>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</si>
  <si>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</si>
  <si>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</si>
  <si>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</si>
  <si>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</si>
  <si>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</si>
  <si>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</si>
  <si>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</si>
  <si>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</si>
  <si>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</si>
  <si>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</si>
  <si>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</si>
  <si>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</si>
  <si>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</si>
  <si>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</si>
  <si>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</si>
  <si>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</si>
  <si>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</si>
  <si>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</si>
  <si>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</si>
  <si>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</si>
  <si>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</si>
  <si>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</si>
  <si>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</si>
  <si>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</si>
  <si>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</si>
  <si>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</si>
  <si>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</si>
  <si>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</si>
  <si>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</si>
  <si>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</si>
  <si>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</si>
  <si>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</si>
  <si>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</si>
  <si>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</si>
  <si>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</si>
  <si>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</si>
  <si>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</si>
  <si>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</si>
  <si>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</si>
  <si>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</si>
  <si>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</si>
  <si>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</si>
  <si>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</si>
  <si>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</si>
  <si>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</si>
  <si>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</si>
  <si>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</si>
  <si>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</si>
  <si>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</si>
  <si>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</si>
  <si>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</si>
  <si>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</si>
  <si>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</si>
  <si>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</si>
  <si>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</si>
  <si>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</si>
  <si>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</si>
  <si>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</si>
  <si>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</si>
  <si>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</si>
  <si>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</si>
  <si>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</si>
  <si>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</si>
  <si>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</si>
  <si>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</si>
  <si>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</si>
  <si>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</si>
  <si>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</si>
  <si>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</si>
  <si>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</si>
  <si>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</si>
  <si>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</si>
  <si>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</si>
  <si>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</si>
  <si>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</si>
  <si>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</si>
  <si>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</si>
  <si>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</si>
  <si>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</si>
  <si>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</si>
  <si>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</si>
  <si>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</si>
  <si>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</si>
  <si>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</si>
  <si>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</si>
  <si>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</si>
  <si>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</si>
  <si>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</si>
  <si>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</si>
  <si>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</si>
  <si>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</si>
  <si>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</si>
  <si>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</si>
  <si>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</si>
  <si>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</si>
  <si>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</si>
  <si>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</si>
  <si>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</si>
  <si>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</si>
  <si>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</si>
  <si>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</si>
  <si>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</si>
  <si>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</si>
  <si>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</si>
  <si>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</si>
  <si>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</si>
  <si>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</si>
  <si>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</si>
  <si>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</si>
  <si>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</si>
  <si>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</si>
  <si>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</si>
  <si>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</si>
  <si>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</si>
  <si>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</si>
  <si>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</si>
  <si>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</si>
  <si>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</si>
  <si>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</si>
  <si>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</si>
  <si>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</si>
  <si>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</si>
  <si>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</si>
  <si>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</si>
  <si>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</si>
  <si>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</si>
  <si>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</si>
  <si>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</si>
  <si>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</si>
  <si>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</si>
  <si>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</si>
  <si>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</si>
  <si>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</si>
  <si>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</si>
  <si>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</si>
  <si>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</si>
  <si>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</si>
  <si>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</si>
  <si>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</si>
  <si>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</si>
  <si>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</si>
  <si>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</si>
  <si>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</si>
  <si>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</si>
  <si>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</si>
  <si>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</si>
  <si>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</si>
  <si>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</si>
  <si>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</si>
  <si>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</si>
  <si>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</si>
  <si>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</si>
  <si>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</si>
  <si>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</si>
  <si>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</si>
  <si>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</si>
  <si>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</si>
  <si>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</si>
  <si>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</si>
  <si>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</si>
  <si>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</si>
  <si>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</si>
  <si>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</si>
  <si>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</si>
  <si>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</si>
  <si>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</si>
  <si>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</si>
  <si>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</si>
  <si>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</si>
  <si>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</si>
  <si>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</si>
  <si>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</si>
  <si>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</si>
  <si>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</si>
  <si>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</si>
  <si>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</si>
  <si>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</si>
  <si>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</si>
  <si>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</si>
  <si>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</si>
  <si>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</si>
  <si>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</si>
  <si>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</si>
  <si>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</si>
  <si>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</si>
  <si>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</si>
  <si>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</si>
  <si>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</si>
  <si>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</si>
  <si>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</si>
  <si>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</si>
  <si>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</si>
  <si>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</si>
  <si>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</si>
  <si>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</si>
  <si>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</si>
  <si>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</si>
  <si>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</si>
  <si>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</si>
  <si>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</si>
  <si>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</si>
  <si>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</si>
  <si>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</si>
  <si>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</si>
  <si>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</si>
  <si>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</si>
  <si>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</si>
  <si>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</si>
  <si>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</si>
  <si>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</si>
  <si>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</si>
  <si>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</si>
  <si>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</si>
  <si>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</si>
  <si>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</si>
  <si>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</si>
  <si>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</si>
  <si>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</si>
  <si>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</si>
  <si>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</si>
  <si>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</si>
  <si>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</si>
  <si>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</si>
  <si>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</si>
  <si>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</si>
  <si>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</si>
  <si>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</si>
  <si>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</si>
  <si>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</si>
  <si>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</si>
  <si>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</si>
  <si>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</si>
  <si>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</si>
  <si>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</si>
  <si>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</si>
  <si>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</si>
  <si>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</si>
  <si>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</si>
  <si>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</si>
  <si>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</si>
  <si>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</si>
  <si>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</si>
  <si>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</si>
  <si>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</si>
  <si>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</si>
  <si>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</si>
  <si>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</si>
  <si>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</si>
  <si>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</si>
  <si>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</si>
  <si>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</si>
  <si>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</si>
  <si>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</si>
  <si>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</si>
  <si>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</si>
  <si>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</si>
  <si>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</si>
  <si>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</si>
  <si>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</si>
  <si>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</si>
  <si>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</si>
  <si>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</si>
  <si>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</si>
  <si>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</si>
  <si>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</si>
  <si>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</si>
  <si>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</si>
  <si>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</si>
  <si>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</si>
  <si>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</si>
  <si>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</si>
  <si>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</si>
  <si>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</si>
  <si>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</si>
  <si>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</si>
  <si>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</si>
  <si>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</si>
  <si>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</si>
  <si>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</si>
  <si>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</si>
  <si>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</si>
  <si>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</si>
  <si>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</si>
  <si>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</si>
  <si>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</si>
  <si>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</si>
  <si>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</si>
  <si>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</si>
  <si>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</si>
  <si>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</si>
  <si>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</si>
  <si>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</si>
  <si>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</si>
  <si>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</si>
  <si>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</si>
  <si>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</si>
  <si>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</si>
  <si>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</si>
  <si>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</si>
  <si>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</si>
  <si>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</si>
  <si>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</si>
  <si>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</si>
  <si>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</si>
  <si>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</si>
  <si>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</si>
  <si>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</si>
  <si>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</si>
  <si>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</si>
  <si>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</si>
  <si>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</si>
  <si>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</si>
  <si>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</si>
  <si>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</si>
  <si>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</si>
  <si>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</si>
  <si>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</si>
  <si>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</si>
  <si>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</si>
  <si>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</si>
  <si>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</si>
  <si>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</si>
  <si>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</si>
  <si>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</si>
  <si>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</si>
  <si>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</si>
  <si>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</si>
  <si>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</si>
  <si>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</si>
  <si>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</si>
  <si>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</si>
  <si>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</si>
  <si>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</si>
  <si>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</si>
  <si>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</si>
  <si>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</si>
  <si>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</si>
  <si>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</si>
  <si>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</si>
  <si>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</si>
  <si>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</si>
  <si>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</si>
  <si>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</si>
  <si>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</si>
  <si>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</si>
  <si>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</si>
  <si>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</si>
  <si>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</si>
  <si>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</si>
  <si>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</si>
  <si>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</si>
  <si>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</si>
  <si>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</si>
  <si>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</si>
  <si>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</si>
  <si>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</si>
  <si>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</si>
  <si>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</si>
  <si>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</si>
  <si>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</si>
  <si>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</si>
  <si>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</si>
  <si>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</si>
  <si>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</si>
  <si>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</si>
  <si>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</si>
  <si>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</si>
  <si>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</si>
  <si>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</si>
  <si>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</si>
  <si>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</si>
  <si>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</si>
  <si>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</si>
  <si>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</si>
  <si>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</si>
  <si>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</si>
  <si>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</si>
  <si>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</si>
  <si>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</si>
  <si>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</si>
  <si>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</si>
  <si>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</si>
  <si>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</si>
  <si>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</si>
  <si>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</si>
  <si>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</si>
  <si>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</si>
  <si>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</si>
  <si>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</si>
  <si>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</si>
  <si>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</si>
  <si>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</si>
  <si>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</si>
  <si>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</si>
  <si>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</si>
  <si>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</si>
  <si>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</si>
  <si>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</si>
  <si>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</si>
  <si>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</si>
  <si>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</si>
  <si>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</si>
  <si>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</si>
  <si>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</si>
  <si>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</si>
  <si>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</si>
  <si>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</si>
  <si>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</si>
  <si>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</si>
  <si>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</si>
  <si>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</si>
  <si>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</si>
  <si>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</si>
  <si>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</si>
  <si>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</si>
  <si>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</si>
  <si>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</si>
  <si>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</si>
  <si>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</si>
  <si>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</si>
  <si>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</si>
  <si>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</si>
  <si>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</si>
  <si>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</si>
  <si>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</si>
  <si>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</si>
  <si>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</si>
  <si>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</si>
  <si>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</si>
  <si>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</si>
  <si>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</si>
  <si>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</si>
  <si>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</si>
  <si>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</si>
  <si>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</si>
  <si>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</si>
  <si>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</si>
  <si>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</si>
  <si>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</si>
  <si>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</si>
  <si>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</si>
  <si>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</si>
  <si>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</si>
  <si>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</si>
  <si>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</si>
  <si>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</si>
  <si>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</si>
  <si>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</si>
  <si>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</si>
  <si>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</si>
  <si>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</si>
  <si>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</si>
  <si>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</si>
  <si>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</si>
  <si>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</si>
  <si>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</si>
  <si>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</si>
  <si>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</si>
  <si>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</si>
  <si>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</si>
  <si>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</si>
  <si>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</si>
  <si>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</si>
  <si>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</si>
  <si>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</si>
  <si>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</si>
  <si>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</si>
  <si>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</si>
  <si>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</si>
  <si>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</si>
  <si>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</si>
  <si>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</si>
  <si>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</si>
  <si>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</si>
  <si>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</si>
  <si>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</si>
  <si>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</si>
  <si>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</si>
  <si>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</si>
  <si>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</si>
  <si>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</si>
  <si>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</si>
  <si>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</si>
  <si>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</si>
  <si>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</si>
  <si>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</si>
  <si>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</si>
  <si>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</si>
  <si>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</si>
  <si>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</si>
  <si>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</si>
  <si>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</si>
  <si>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</si>
  <si>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</si>
  <si>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</si>
  <si>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</si>
  <si>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</si>
  <si>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</si>
  <si>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</si>
  <si>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</si>
  <si>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</si>
  <si>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</si>
  <si>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</si>
  <si>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</si>
  <si>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</si>
  <si>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</si>
  <si>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</si>
  <si>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</si>
  <si>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</si>
  <si>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</si>
  <si>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</si>
  <si>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</si>
  <si>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</si>
  <si>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</si>
  <si>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</si>
  <si>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</si>
  <si>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</si>
  <si>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</si>
  <si>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</si>
  <si>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</si>
  <si>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</si>
  <si>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</si>
  <si>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</si>
  <si>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</si>
  <si>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</si>
  <si>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</si>
  <si>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</si>
  <si>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</si>
  <si>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</si>
  <si>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</si>
  <si>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</si>
  <si>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</si>
  <si>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</si>
  <si>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</si>
  <si>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</si>
  <si>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</si>
  <si>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</si>
  <si>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</si>
  <si>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</si>
  <si>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</si>
  <si>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</si>
  <si>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</si>
  <si>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</si>
  <si>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</si>
  <si>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</si>
  <si>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</si>
  <si>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</si>
  <si>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</si>
  <si>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</si>
  <si>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</si>
  <si>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</si>
  <si>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</si>
  <si>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</si>
  <si>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</si>
  <si>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</si>
  <si>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</si>
  <si>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</si>
  <si>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</si>
  <si>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</si>
  <si>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</si>
  <si>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</si>
  <si>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</si>
  <si>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</si>
  <si>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</si>
  <si>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</si>
  <si>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</si>
  <si>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</si>
  <si>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</si>
  <si>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</si>
  <si>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</si>
  <si>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</si>
  <si>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</si>
  <si>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</si>
  <si>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</si>
  <si>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</si>
  <si>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</si>
  <si>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</si>
  <si>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</si>
  <si>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</si>
  <si>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</si>
  <si>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</si>
  <si>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</si>
  <si>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</si>
  <si>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</si>
  <si>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</si>
  <si>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</si>
  <si>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</si>
  <si>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</si>
  <si>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</si>
  <si>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</si>
  <si>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</si>
  <si>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</si>
  <si>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</si>
  <si>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</si>
  <si>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</si>
  <si>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</si>
  <si>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</si>
  <si>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</si>
  <si>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</si>
  <si>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</si>
  <si>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</si>
  <si>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</si>
  <si>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</si>
  <si>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</si>
  <si>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</si>
  <si>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</si>
  <si>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</si>
  <si>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</si>
  <si>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</si>
  <si>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</si>
  <si>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</si>
  <si>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</si>
  <si>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</si>
  <si>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</si>
  <si>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</si>
  <si>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</si>
  <si>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</si>
  <si>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</si>
  <si>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</si>
  <si>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</si>
  <si>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</si>
  <si>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</si>
  <si>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</si>
  <si>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</si>
  <si>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</si>
  <si>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</si>
  <si>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</si>
  <si>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</si>
  <si>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</si>
  <si>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</si>
  <si>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</si>
  <si>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</si>
  <si>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</si>
  <si>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</si>
  <si>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</si>
  <si>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</si>
  <si>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</si>
  <si>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</si>
  <si>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</si>
  <si>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</si>
  <si>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</si>
  <si>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</si>
  <si>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</si>
  <si>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</si>
  <si>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</si>
  <si>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</si>
  <si>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</si>
  <si>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</si>
  <si>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</si>
  <si>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</si>
  <si>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</si>
  <si>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</si>
  <si>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</si>
  <si>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</si>
  <si>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</si>
  <si>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</si>
  <si>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</si>
  <si>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</si>
  <si>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</si>
  <si>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</si>
  <si>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</si>
  <si>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</si>
  <si>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</si>
  <si>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</si>
  <si>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</si>
  <si>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</si>
  <si>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</si>
  <si>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</si>
  <si>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</si>
  <si>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</si>
  <si>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</si>
  <si>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</si>
  <si>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</si>
  <si>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</si>
  <si>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</si>
  <si>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</si>
  <si>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</si>
  <si>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</si>
  <si>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</si>
  <si>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</si>
  <si>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</si>
  <si>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</si>
  <si>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</si>
  <si>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</si>
  <si>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</si>
  <si>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</si>
  <si>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</si>
  <si>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</si>
  <si>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</si>
  <si>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</si>
  <si>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</si>
  <si>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</si>
  <si>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</si>
  <si>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</si>
  <si>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</si>
  <si>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</si>
  <si>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</si>
  <si>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</si>
  <si>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</si>
  <si>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</si>
  <si>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</si>
  <si>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</si>
  <si>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</si>
  <si>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</si>
  <si>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</si>
  <si>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</si>
  <si>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</si>
  <si>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</si>
  <si>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</si>
  <si>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</si>
  <si>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</si>
  <si>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</si>
  <si>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</si>
  <si>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</si>
  <si>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</si>
  <si>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</si>
  <si>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</si>
  <si>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</si>
  <si>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</si>
  <si>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</si>
  <si>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</si>
  <si>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</si>
  <si>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</si>
  <si>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</si>
  <si>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</si>
  <si>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</si>
  <si>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</si>
  <si>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</si>
  <si>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</si>
  <si>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</si>
  <si>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</si>
  <si>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</si>
  <si>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</si>
  <si>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</si>
  <si>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</si>
  <si>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</si>
  <si>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</si>
  <si>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</si>
  <si>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</si>
  <si>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</si>
  <si>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</si>
  <si>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</si>
  <si>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</si>
  <si>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</si>
  <si>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</si>
  <si>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</si>
  <si>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</si>
  <si>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</si>
  <si>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</si>
  <si>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</si>
  <si>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</si>
  <si>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</si>
  <si>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</si>
  <si>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</si>
  <si>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</si>
  <si>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</si>
  <si>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</si>
  <si>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</si>
  <si>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</si>
  <si>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</si>
  <si>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</si>
  <si>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</si>
  <si>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</si>
  <si>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</si>
  <si>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</si>
  <si>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</si>
  <si>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</si>
  <si>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</si>
  <si>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</si>
  <si>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</si>
  <si>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</si>
  <si>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</si>
  <si>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</si>
  <si>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</si>
  <si>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</si>
  <si>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</si>
  <si>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</si>
  <si>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</si>
  <si>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</si>
  <si>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</si>
  <si>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</si>
  <si>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</si>
  <si>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</si>
  <si>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</si>
  <si>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</si>
  <si>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</si>
  <si>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</si>
  <si>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</si>
  <si>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</si>
  <si>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</si>
  <si>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</si>
  <si>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</si>
  <si>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</si>
  <si>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</si>
  <si>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</si>
  <si>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</si>
  <si>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</si>
  <si>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</si>
  <si>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</si>
  <si>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</si>
  <si>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</si>
  <si>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</si>
  <si>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</si>
  <si>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</si>
  <si>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</si>
  <si>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</si>
  <si>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</si>
  <si>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</si>
  <si>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</si>
  <si>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</si>
  <si>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</si>
  <si>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</si>
  <si>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</si>
  <si>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</si>
  <si>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</si>
  <si>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</si>
  <si>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</si>
  <si>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</si>
  <si>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</si>
  <si>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</si>
  <si>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</si>
  <si>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</si>
  <si>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</si>
  <si>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</si>
  <si>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</si>
  <si>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</si>
  <si>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</si>
  <si>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</si>
  <si>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</si>
  <si>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</si>
  <si>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</si>
  <si>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</si>
  <si>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</si>
  <si>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</si>
  <si>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</si>
  <si>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</si>
  <si>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</si>
  <si>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</si>
  <si>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</si>
  <si>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</si>
  <si>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</si>
  <si>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</si>
  <si>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</si>
  <si>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</si>
  <si>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</si>
  <si>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</si>
  <si>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</si>
  <si>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</si>
  <si>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</si>
  <si>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</si>
  <si>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</si>
  <si>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</si>
  <si>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</si>
  <si>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</si>
  <si>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</si>
  <si>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</si>
  <si>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</si>
  <si>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</si>
  <si>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</si>
  <si>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</si>
  <si>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</si>
  <si>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</si>
  <si>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</si>
  <si>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</si>
  <si>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</si>
  <si>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</si>
  <si>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</si>
  <si>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</si>
  <si>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</si>
  <si>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</si>
  <si>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</si>
  <si>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</si>
  <si>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</si>
  <si>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</si>
  <si>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</si>
  <si>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</si>
  <si>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</si>
  <si>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</si>
  <si>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</si>
  <si>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</si>
  <si>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</si>
  <si>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</si>
  <si>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</si>
  <si>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</si>
  <si>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</si>
  <si>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</si>
  <si>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</si>
  <si>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</si>
  <si>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</si>
  <si>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</si>
  <si>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</si>
  <si>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</si>
  <si>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</si>
  <si>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</si>
  <si>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</si>
  <si>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</si>
  <si>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</si>
  <si>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</si>
  <si>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</si>
  <si>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</si>
  <si>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</si>
  <si>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</si>
  <si>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</si>
  <si>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</si>
  <si>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</si>
  <si>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</si>
  <si>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</si>
  <si>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</si>
  <si>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</si>
  <si>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</si>
  <si>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</si>
  <si>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</si>
  <si>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</si>
  <si>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</si>
  <si>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</si>
  <si>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</si>
  <si>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</si>
  <si>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</si>
  <si>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</si>
  <si>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</si>
  <si>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</si>
  <si>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</si>
  <si>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</si>
  <si>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</si>
  <si>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</si>
  <si>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</si>
  <si>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</si>
  <si>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</si>
  <si>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</si>
  <si>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</si>
  <si>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</si>
  <si>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</si>
  <si>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</si>
  <si>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</si>
  <si>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</si>
  <si>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</si>
  <si>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</si>
  <si>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</si>
  <si>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</si>
  <si>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</si>
  <si>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</si>
  <si>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</si>
  <si>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</si>
  <si>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</si>
  <si>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</si>
  <si>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</si>
  <si>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</si>
  <si>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</si>
  <si>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</si>
  <si>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</si>
  <si>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</si>
  <si>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</si>
  <si>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</si>
  <si>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</si>
  <si>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</si>
  <si>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</si>
  <si>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</si>
  <si>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</si>
  <si>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</si>
  <si>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</si>
  <si>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</si>
  <si>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</si>
  <si>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</si>
  <si>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</si>
  <si>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</si>
  <si>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</si>
  <si>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</si>
  <si>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</si>
  <si>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</si>
  <si>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</si>
  <si>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</si>
  <si>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</si>
  <si>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</si>
  <si>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</si>
  <si>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</si>
  <si>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</si>
  <si>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</si>
  <si>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</si>
  <si>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</si>
  <si>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</si>
  <si>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</si>
  <si>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</si>
  <si>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</si>
  <si>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</si>
  <si>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</si>
  <si>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</si>
  <si>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</si>
  <si>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</si>
  <si>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</si>
  <si>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</si>
  <si>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</si>
  <si>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</si>
  <si>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</si>
  <si>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</si>
  <si>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</si>
  <si>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</si>
  <si>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</si>
  <si>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</si>
  <si>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</si>
  <si>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</si>
  <si>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</si>
  <si>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</si>
  <si>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</si>
  <si>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</si>
  <si>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</si>
  <si>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</si>
  <si>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</si>
  <si>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</si>
  <si>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</si>
  <si>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</si>
  <si>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</si>
  <si>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</si>
  <si>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</si>
  <si>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</si>
  <si>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</si>
  <si>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</si>
  <si>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</si>
  <si>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</si>
  <si>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</si>
  <si>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</si>
  <si>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</si>
  <si>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</si>
  <si>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</si>
  <si>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</si>
  <si>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</si>
  <si>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</si>
  <si>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</si>
  <si>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</si>
  <si>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</si>
  <si>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</si>
  <si>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</si>
  <si>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</si>
  <si>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</si>
  <si>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</si>
  <si>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</si>
  <si>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</si>
  <si>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</si>
  <si>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</si>
  <si>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</si>
  <si>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</si>
  <si>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</si>
  <si>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</si>
  <si>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</si>
  <si>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</si>
  <si>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</si>
  <si>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</si>
  <si>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</si>
  <si>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</si>
  <si>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</si>
  <si>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</si>
  <si>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</si>
  <si>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</si>
  <si>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</si>
  <si>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</si>
  <si>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</si>
  <si>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</si>
  <si>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</si>
  <si>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</si>
  <si>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</si>
  <si>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</si>
  <si>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</si>
  <si>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</si>
  <si>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</si>
  <si>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</si>
  <si>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</si>
  <si>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</si>
  <si>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</si>
  <si>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</si>
  <si>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</si>
  <si>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</si>
  <si>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</si>
  <si>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</si>
  <si>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</si>
  <si>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</si>
  <si>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</si>
  <si>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</si>
  <si>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</si>
  <si>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</si>
  <si>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</si>
  <si>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</si>
  <si>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</si>
  <si>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</si>
  <si>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</si>
  <si>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</si>
  <si>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</si>
  <si>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</si>
  <si>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</si>
  <si>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</si>
  <si>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</si>
  <si>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</si>
  <si>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</si>
  <si>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</si>
  <si>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</si>
  <si>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</si>
  <si>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</si>
  <si>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</si>
  <si>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</si>
  <si>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</si>
  <si>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</si>
  <si>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</si>
  <si>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</si>
  <si>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</si>
  <si>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</si>
  <si>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</si>
  <si>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</si>
  <si>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</si>
  <si>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</si>
  <si>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</si>
  <si>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</si>
  <si>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</si>
  <si>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</si>
  <si>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</si>
  <si>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</si>
  <si>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</si>
  <si>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</si>
  <si>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</si>
  <si>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</si>
  <si>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</si>
  <si>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</si>
  <si>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</si>
  <si>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</si>
  <si>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</si>
  <si>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</si>
  <si>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</si>
  <si>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</si>
  <si>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</si>
  <si>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</si>
  <si>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</si>
  <si>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</si>
  <si>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</si>
  <si>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</si>
  <si>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</si>
  <si>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</si>
  <si>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</si>
  <si>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</si>
  <si>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</si>
  <si>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</si>
  <si>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</si>
  <si>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</si>
  <si>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</si>
  <si>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</si>
  <si>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</si>
  <si>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</si>
  <si>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</si>
  <si>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</si>
  <si>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</si>
  <si>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</si>
  <si>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</si>
  <si>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</si>
  <si>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</si>
  <si>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</si>
  <si>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</si>
  <si>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</si>
  <si>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</si>
  <si>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</si>
  <si>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</si>
  <si>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</si>
  <si>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</si>
  <si>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</si>
  <si>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</si>
  <si>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</si>
  <si>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</si>
  <si>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</si>
  <si>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</si>
  <si>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</si>
  <si>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</si>
  <si>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</si>
  <si>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</si>
  <si>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</si>
  <si>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</si>
  <si>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</si>
  <si>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</si>
  <si>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</si>
  <si>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</si>
  <si>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</si>
  <si>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</si>
  <si>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</si>
  <si>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</si>
  <si>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</si>
  <si>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</si>
  <si>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</si>
  <si>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</si>
  <si>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</si>
  <si>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</si>
  <si>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</si>
  <si>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</si>
  <si>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</si>
  <si>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</si>
  <si>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</si>
  <si>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</si>
  <si>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</si>
  <si>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</si>
  <si>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</si>
  <si>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</si>
  <si>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</si>
  <si>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</si>
  <si>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</si>
  <si>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</si>
  <si>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</si>
  <si>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</si>
  <si>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</si>
  <si>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</si>
  <si>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</si>
  <si>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</si>
  <si>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</si>
  <si>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</si>
  <si>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</si>
  <si>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</si>
  <si>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</si>
  <si>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</si>
  <si>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</si>
  <si>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</si>
  <si>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</si>
  <si>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</si>
  <si>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</si>
  <si>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</si>
  <si>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</si>
  <si>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</si>
  <si>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</si>
  <si>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</si>
  <si>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</si>
  <si>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</si>
  <si>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</si>
  <si>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</si>
  <si>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</si>
  <si>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</si>
  <si>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</si>
  <si>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</si>
  <si>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</si>
  <si>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</si>
  <si>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</si>
  <si>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</si>
  <si>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</si>
  <si>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</si>
  <si>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</si>
  <si>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</si>
  <si>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</si>
  <si>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</si>
  <si>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</si>
  <si>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</si>
  <si>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</si>
  <si>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</si>
  <si>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</si>
  <si>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</si>
  <si>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</si>
  <si>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</si>
  <si>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</si>
  <si>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</si>
  <si>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</si>
  <si>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</si>
  <si>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</si>
  <si>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</si>
  <si>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</si>
  <si>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</si>
  <si>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</si>
  <si>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</si>
  <si>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</si>
  <si>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</si>
  <si>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</si>
  <si>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</si>
  <si>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</si>
  <si>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</si>
  <si>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</si>
  <si>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</si>
  <si>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</si>
  <si>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</si>
  <si>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</si>
  <si>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</si>
  <si>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</si>
  <si>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</si>
  <si>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</si>
  <si>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</si>
  <si>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</si>
  <si>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</si>
  <si>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</si>
  <si>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</si>
  <si>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</si>
  <si>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</si>
  <si>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</si>
  <si>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</si>
  <si>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</si>
  <si>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</si>
  <si>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</si>
  <si>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</si>
  <si>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</si>
  <si>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</si>
  <si>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</si>
  <si>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</si>
  <si>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</si>
  <si>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</si>
  <si>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</si>
  <si>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</si>
  <si>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</si>
  <si>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</si>
  <si>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</si>
  <si>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</si>
  <si>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</si>
  <si>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</si>
  <si>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</si>
  <si>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</si>
  <si>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</si>
  <si>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</si>
  <si>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</si>
  <si>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</si>
  <si>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</si>
  <si>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</si>
  <si>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</si>
  <si>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</si>
  <si>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</si>
  <si>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</si>
  <si>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</si>
  <si>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</si>
  <si>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</si>
  <si>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</si>
  <si>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</si>
  <si>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</si>
  <si>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</si>
  <si>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</si>
  <si>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</si>
  <si>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</si>
  <si>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</si>
  <si>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</si>
  <si>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</si>
  <si>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</si>
  <si>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</si>
  <si>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</si>
  <si>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</si>
  <si>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</si>
  <si>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</si>
  <si>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</si>
  <si>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</si>
  <si>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</si>
  <si>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</si>
  <si>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</si>
  <si>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</si>
  <si>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</si>
  <si>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</si>
  <si>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</si>
  <si>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</si>
  <si>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</si>
  <si>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</si>
  <si>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</si>
  <si>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</si>
  <si>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</si>
  <si>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</si>
  <si>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</si>
  <si>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</si>
  <si>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</si>
  <si>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</si>
  <si>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</si>
  <si>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</si>
  <si>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</si>
  <si>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</si>
  <si>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</si>
  <si>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</si>
  <si>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</si>
  <si>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</si>
  <si>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</si>
  <si>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</si>
  <si>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</si>
  <si>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</si>
  <si>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</si>
  <si>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</si>
  <si>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</si>
  <si>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</si>
  <si>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</si>
  <si>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</si>
  <si>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</si>
  <si>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</si>
  <si>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</si>
  <si>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</si>
  <si>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</si>
  <si>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</si>
  <si>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</si>
  <si>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</si>
  <si>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</si>
  <si>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</si>
  <si>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</si>
  <si>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</si>
  <si>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</si>
  <si>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</si>
  <si>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</si>
  <si>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</si>
  <si>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</si>
  <si>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</si>
  <si>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</si>
  <si>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</si>
  <si>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</si>
  <si>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</si>
  <si>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</si>
  <si>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</si>
  <si>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</si>
  <si>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</si>
  <si>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</si>
  <si>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</si>
  <si>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</si>
  <si>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</si>
  <si>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</si>
  <si>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</si>
  <si>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</si>
  <si>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</si>
  <si>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</si>
  <si>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</si>
  <si>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</si>
  <si>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</si>
  <si>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</si>
  <si>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</si>
  <si>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</si>
  <si>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</si>
  <si>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</si>
  <si>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</si>
  <si>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</si>
  <si>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</si>
  <si>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</si>
  <si>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</si>
  <si>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</si>
  <si>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</si>
  <si>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</si>
  <si>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</si>
  <si>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</si>
  <si>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</si>
  <si>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</si>
  <si>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</si>
  <si>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</si>
  <si>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</si>
  <si>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</si>
  <si>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</si>
  <si>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</si>
  <si>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</si>
  <si>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</si>
  <si>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</si>
  <si>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</si>
  <si>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</si>
  <si>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</si>
  <si>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</si>
  <si>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</si>
  <si>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</si>
  <si>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</si>
  <si>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</si>
  <si>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</si>
  <si>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</si>
  <si>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</si>
  <si>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</si>
  <si>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</si>
  <si>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</si>
  <si>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</si>
  <si>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</si>
  <si>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</si>
  <si>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</si>
  <si>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</si>
  <si>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</si>
  <si>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</si>
  <si>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</si>
  <si>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</si>
  <si>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</si>
  <si>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</si>
  <si>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</si>
  <si>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</si>
  <si>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</si>
  <si>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</si>
  <si>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</si>
  <si>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</si>
  <si>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</si>
  <si>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</si>
  <si>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</si>
  <si>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</si>
  <si>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</si>
  <si>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</si>
  <si>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</si>
  <si>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</si>
  <si>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</si>
  <si>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</si>
  <si>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</si>
  <si>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</si>
  <si>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</si>
  <si>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</si>
  <si>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</si>
  <si>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</si>
  <si>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</si>
  <si>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</si>
  <si>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</si>
  <si>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</si>
  <si>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</si>
  <si>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</si>
  <si>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</si>
  <si>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</si>
  <si>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</si>
  <si>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</si>
  <si>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</si>
  <si>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</si>
  <si>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</si>
  <si>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</si>
  <si>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</si>
  <si>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</si>
  <si>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</si>
  <si>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</si>
  <si>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</si>
  <si>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</si>
  <si>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</si>
  <si>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</si>
  <si>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</si>
  <si>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</si>
  <si>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</si>
  <si>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</si>
  <si>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</si>
  <si>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</si>
  <si>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</si>
  <si>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</si>
  <si>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</si>
  <si>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</si>
  <si>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</si>
  <si>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</si>
  <si>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</si>
  <si>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</si>
  <si>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</si>
  <si>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</si>
  <si>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</si>
  <si>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</si>
  <si>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</si>
  <si>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</si>
  <si>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</si>
  <si>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</si>
  <si>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</si>
  <si>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</si>
  <si>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</si>
  <si>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</si>
  <si>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</si>
  <si>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</si>
  <si>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</si>
  <si>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</si>
  <si>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</si>
  <si>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</si>
  <si>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</si>
  <si>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</si>
  <si>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</si>
  <si>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</si>
  <si>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</si>
  <si>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</si>
  <si>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</si>
  <si>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</si>
  <si>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</si>
  <si>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</si>
  <si>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</si>
  <si>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</si>
  <si>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</si>
  <si>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</si>
  <si>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</si>
  <si>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</si>
  <si>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</si>
  <si>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</si>
  <si>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</si>
  <si>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</si>
  <si>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</si>
  <si>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</si>
  <si>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</si>
  <si>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</si>
  <si>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</si>
  <si>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</si>
  <si>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</si>
  <si>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</si>
  <si>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</si>
  <si>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</si>
  <si>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</si>
  <si>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</si>
  <si>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</si>
  <si>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</si>
  <si>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</si>
  <si>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</si>
  <si>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</si>
  <si>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</si>
  <si>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</si>
  <si>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</si>
  <si>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</si>
  <si>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</si>
  <si>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</si>
  <si>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</si>
  <si>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</si>
  <si>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</si>
  <si>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</si>
  <si>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</si>
  <si>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</si>
  <si>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</si>
  <si>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</si>
  <si>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</si>
  <si>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</si>
  <si>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</si>
  <si>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</si>
  <si>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</si>
  <si>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</si>
  <si>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</si>
  <si>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</si>
  <si>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</si>
  <si>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</si>
  <si>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</si>
  <si>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</si>
  <si>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</si>
  <si>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</si>
  <si>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</si>
  <si>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</si>
  <si>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</si>
  <si>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</si>
  <si>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</si>
  <si>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</si>
  <si>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</si>
  <si>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</si>
  <si>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</si>
  <si>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</si>
  <si>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</si>
  <si>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</si>
  <si>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</si>
  <si>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</si>
  <si>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</si>
  <si>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</si>
  <si>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</si>
  <si>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</si>
  <si>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</si>
  <si>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</si>
  <si>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</si>
  <si>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</si>
  <si>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</si>
  <si>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</si>
  <si>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</si>
  <si>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</si>
  <si>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</si>
  <si>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</si>
  <si>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</si>
  <si>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</si>
  <si>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</si>
  <si>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</si>
  <si>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</si>
  <si>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</si>
  <si>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</si>
  <si>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</si>
  <si>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</si>
  <si>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</si>
  <si>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</si>
  <si>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</si>
  <si>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</si>
  <si>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</si>
  <si>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</si>
  <si>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</si>
  <si>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</si>
  <si>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</si>
  <si>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</si>
  <si>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</si>
  <si>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</si>
  <si>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</si>
  <si>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</si>
  <si>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</si>
  <si>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</si>
  <si>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</si>
  <si>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</si>
  <si>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</si>
  <si>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</si>
  <si>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</si>
  <si>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</si>
  <si>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</si>
  <si>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</si>
  <si>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</si>
  <si>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</si>
  <si>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</si>
  <si>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</si>
  <si>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</si>
  <si>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</si>
  <si>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</si>
  <si>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</si>
  <si>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</si>
  <si>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</si>
  <si>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</si>
  <si>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</si>
  <si>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</si>
  <si>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</si>
  <si>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</si>
  <si>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</si>
  <si>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</si>
  <si>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</si>
  <si>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</si>
  <si>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</si>
  <si>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</si>
  <si>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</si>
  <si>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</si>
  <si>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</si>
  <si>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</si>
  <si>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</si>
  <si>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</si>
  <si>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</si>
  <si>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</si>
  <si>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</si>
  <si>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</si>
  <si>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</si>
  <si>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</si>
  <si>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</si>
  <si>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</si>
  <si>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</si>
  <si>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</si>
  <si>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</si>
  <si>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</si>
  <si>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</si>
  <si>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</si>
  <si>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</si>
  <si>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</si>
  <si>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</si>
  <si>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</si>
  <si>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</si>
  <si>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</si>
  <si>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</si>
  <si>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</si>
  <si>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</si>
  <si>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</si>
  <si>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</si>
  <si>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</si>
  <si>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</si>
  <si>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</si>
  <si>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</si>
  <si>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</si>
  <si>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</si>
  <si>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</si>
  <si>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</si>
  <si>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</si>
  <si>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</si>
  <si>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</si>
  <si>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</si>
  <si>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</si>
  <si>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</si>
  <si>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</si>
  <si>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</si>
  <si>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</si>
  <si>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</si>
  <si>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</si>
  <si>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</si>
  <si>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</si>
  <si>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</si>
  <si>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</si>
  <si>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</si>
  <si>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</si>
  <si>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</si>
  <si>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</si>
  <si>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</si>
  <si>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</si>
  <si>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</si>
  <si>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</si>
  <si>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</si>
  <si>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</si>
  <si>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</si>
  <si>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</si>
  <si>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</si>
  <si>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</si>
  <si>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</si>
  <si>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</si>
  <si>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</si>
  <si>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</si>
  <si>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</si>
  <si>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</si>
  <si>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</si>
  <si>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</si>
  <si>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</si>
  <si>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</si>
  <si>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</si>
  <si>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</si>
  <si>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</si>
  <si>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</si>
  <si>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</si>
  <si>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</si>
  <si>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</si>
  <si>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</si>
  <si>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</si>
  <si>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</si>
  <si>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</si>
  <si>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</si>
  <si>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</si>
  <si>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</si>
  <si>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</si>
  <si>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</si>
  <si>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</si>
  <si>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</si>
  <si>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</si>
  <si>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</si>
  <si>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</si>
  <si>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</si>
  <si>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</si>
  <si>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</si>
  <si>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</si>
  <si>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</si>
  <si>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</si>
  <si>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</si>
  <si>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</si>
  <si>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</si>
  <si>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</si>
  <si>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</si>
  <si>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</si>
  <si>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</si>
  <si>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</si>
  <si>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</si>
  <si>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</si>
  <si>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</si>
  <si>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</si>
  <si>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</si>
  <si>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</si>
  <si>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</si>
  <si>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</si>
  <si>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</si>
  <si>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</si>
  <si>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</si>
  <si>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</si>
  <si>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</si>
  <si>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</si>
  <si>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</si>
  <si>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</si>
  <si>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</si>
  <si>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</si>
  <si>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</si>
  <si>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</si>
  <si>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</si>
  <si>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</si>
  <si>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</si>
  <si>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</si>
  <si>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</si>
  <si>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</si>
  <si>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</si>
  <si>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</si>
  <si>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</si>
  <si>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</si>
  <si>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</si>
  <si>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</si>
  <si>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</si>
  <si>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</si>
  <si>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</si>
  <si>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</si>
  <si>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</si>
  <si>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</si>
  <si>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</si>
  <si>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</si>
  <si>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</si>
  <si>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</si>
  <si>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</si>
  <si>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</si>
  <si>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</si>
  <si>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</si>
  <si>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</si>
  <si>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</si>
  <si>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</si>
  <si>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</si>
  <si>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</si>
  <si>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</si>
  <si>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</si>
  <si>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</si>
  <si>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</si>
  <si>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</si>
  <si>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</si>
  <si>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</si>
  <si>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</si>
  <si>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</si>
  <si>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</si>
  <si>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</si>
  <si>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</si>
  <si>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</si>
  <si>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</si>
  <si>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</si>
  <si>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</si>
  <si>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</si>
  <si>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</si>
  <si>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</si>
  <si>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</si>
  <si>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</si>
  <si>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</si>
  <si>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</si>
  <si>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</si>
  <si>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</si>
  <si>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</si>
  <si>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</si>
  <si>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</si>
  <si>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</si>
  <si>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</si>
  <si>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</si>
  <si>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</si>
  <si>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</si>
  <si>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</si>
  <si>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</si>
  <si>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</si>
  <si>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</si>
  <si>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</si>
  <si>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</si>
  <si>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</si>
  <si>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</si>
  <si>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</si>
  <si>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</si>
  <si>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</si>
  <si>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</si>
  <si>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</si>
  <si>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</si>
  <si>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</si>
  <si>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</si>
  <si>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</si>
  <si>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</si>
  <si>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</si>
  <si>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</si>
  <si>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</si>
  <si>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</si>
  <si>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</si>
  <si>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</si>
  <si>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</si>
  <si>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</si>
  <si>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</si>
  <si>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</si>
  <si>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</si>
  <si>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</si>
  <si>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</si>
  <si>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</si>
  <si>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</si>
  <si>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</si>
  <si>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</si>
  <si>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</si>
  <si>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</si>
  <si>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</si>
  <si>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</si>
  <si>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</si>
  <si>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</si>
  <si>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</si>
  <si>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</si>
  <si>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</si>
  <si>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</si>
  <si>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</si>
  <si>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</si>
  <si>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</si>
  <si>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</si>
  <si>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</si>
  <si>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</si>
  <si>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</si>
  <si>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</si>
  <si>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</si>
  <si>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</si>
  <si>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</si>
  <si>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</si>
  <si>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</si>
  <si>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</si>
  <si>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</si>
  <si>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</si>
  <si>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</si>
  <si>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</si>
  <si>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</si>
  <si>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</si>
  <si>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</si>
  <si>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</si>
  <si>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</si>
  <si>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</si>
  <si>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</si>
  <si>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</si>
  <si>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</si>
  <si>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</si>
  <si>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</si>
  <si>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</si>
  <si>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</si>
  <si>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</si>
  <si>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</si>
  <si>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</si>
  <si>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</si>
  <si>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</si>
  <si>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</si>
  <si>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</si>
  <si>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</si>
  <si>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</si>
  <si>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</si>
  <si>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</si>
  <si>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</si>
  <si>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</si>
  <si>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</si>
  <si>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</si>
  <si>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</si>
  <si>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</si>
  <si>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</si>
  <si>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</si>
  <si>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</si>
  <si>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</si>
  <si>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</si>
  <si>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</si>
  <si>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</si>
  <si>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</si>
  <si>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</si>
  <si>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</si>
  <si>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</si>
  <si>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</si>
  <si>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</si>
  <si>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</si>
  <si>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</si>
  <si>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</si>
  <si>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</si>
  <si>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</si>
  <si>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</si>
  <si>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</si>
  <si>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</si>
  <si>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</si>
  <si>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</si>
  <si>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</si>
  <si>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</si>
  <si>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</si>
  <si>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</si>
  <si>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</si>
  <si>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</si>
  <si>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</si>
  <si>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</si>
  <si>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</si>
  <si>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</si>
  <si>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</si>
  <si>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</si>
  <si>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</si>
  <si>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</si>
  <si>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</si>
  <si>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</si>
  <si>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</si>
  <si>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</si>
  <si>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</si>
  <si>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</si>
  <si>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</si>
  <si>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</si>
  <si>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</si>
  <si>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</si>
  <si>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</si>
  <si>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</si>
  <si>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</si>
  <si>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</si>
  <si>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</si>
  <si>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</si>
  <si>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</si>
  <si>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</si>
  <si>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</si>
  <si>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</si>
  <si>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</si>
  <si>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</si>
  <si>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</si>
  <si>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</si>
  <si>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</si>
  <si>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</si>
  <si>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</si>
  <si>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</si>
  <si>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</si>
  <si>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</si>
  <si>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</si>
  <si>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</si>
  <si>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</si>
  <si>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</si>
  <si>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</si>
  <si>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</si>
  <si>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</si>
  <si>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</si>
  <si>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</si>
  <si>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</si>
  <si>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</si>
  <si>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</si>
  <si>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</si>
  <si>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</si>
  <si>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</si>
  <si>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</si>
  <si>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</si>
  <si>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</si>
  <si>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</si>
  <si>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</si>
  <si>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</si>
  <si>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</si>
  <si>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</si>
  <si>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</si>
  <si>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</si>
  <si>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</si>
  <si>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</si>
  <si>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</si>
  <si>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</si>
  <si>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</si>
  <si>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</si>
  <si>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</si>
  <si>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</si>
  <si>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</si>
  <si>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</si>
  <si>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</si>
  <si>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</si>
  <si>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</si>
  <si>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</si>
  <si>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</si>
  <si>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</si>
  <si>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</si>
  <si>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</si>
  <si>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</si>
  <si>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</si>
  <si>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</si>
  <si>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</si>
  <si>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</si>
  <si>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</si>
  <si>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</si>
  <si>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</si>
  <si>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</si>
  <si>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</si>
  <si>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</si>
  <si>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</si>
  <si>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</si>
  <si>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</si>
  <si>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</si>
  <si>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</si>
  <si>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</si>
  <si>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</si>
  <si>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</si>
  <si>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</si>
  <si>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</si>
  <si>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</si>
  <si>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</si>
  <si>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</si>
  <si>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</si>
  <si>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</si>
  <si>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</si>
  <si>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</si>
  <si>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</si>
  <si>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</si>
  <si>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</si>
  <si>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</si>
  <si>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</si>
  <si>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</si>
  <si>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</si>
  <si>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</si>
  <si>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</si>
  <si>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</si>
  <si>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</si>
  <si>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</si>
  <si>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</si>
  <si>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</si>
  <si>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</si>
  <si>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</si>
  <si>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</si>
  <si>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</si>
  <si>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</si>
  <si>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</si>
  <si>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</si>
  <si>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</si>
  <si>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</si>
  <si>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</si>
  <si>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</si>
  <si>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</si>
  <si>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</si>
  <si>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</si>
  <si>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</si>
  <si>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</si>
  <si>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</si>
  <si>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</si>
  <si>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</si>
  <si>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</si>
  <si>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</si>
  <si>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</si>
  <si>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</si>
  <si>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</si>
  <si>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</si>
  <si>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</si>
  <si>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</si>
  <si>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</si>
  <si>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</si>
  <si>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</si>
  <si>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</si>
  <si>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</si>
  <si>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</si>
  <si>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</si>
  <si>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</si>
  <si>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</si>
  <si>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</si>
  <si>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</si>
  <si>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</si>
  <si>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</si>
  <si>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</si>
  <si>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</si>
  <si>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</si>
  <si>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</si>
  <si>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</si>
  <si>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</si>
  <si>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</si>
  <si>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</si>
  <si>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</si>
  <si>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</si>
  <si>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</si>
  <si>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</si>
  <si>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</si>
  <si>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</si>
  <si>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</si>
  <si>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</si>
  <si>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</si>
  <si>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</si>
  <si>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</si>
  <si>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</si>
  <si>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</si>
  <si>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</si>
  <si>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</si>
  <si>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</si>
  <si>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</si>
  <si>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</si>
  <si>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</si>
  <si>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</si>
  <si>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</si>
  <si>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</si>
  <si>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</si>
  <si>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</si>
  <si>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</si>
  <si>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</si>
  <si>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</si>
  <si>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</si>
  <si>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</si>
  <si>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</si>
  <si>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</si>
  <si>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</si>
  <si>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</si>
  <si>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</si>
  <si>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</si>
  <si>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</si>
  <si>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</si>
  <si>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</si>
  <si>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</si>
  <si>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</si>
  <si>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</si>
  <si>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</si>
  <si>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</si>
  <si>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</si>
  <si>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</si>
  <si>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</si>
  <si>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</si>
  <si>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</si>
  <si>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</si>
  <si>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</si>
  <si>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</si>
  <si>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</si>
  <si>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</si>
  <si>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</si>
  <si>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</si>
  <si>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</si>
  <si>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</si>
  <si>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</si>
  <si>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</si>
  <si>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</si>
  <si>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</si>
  <si>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</si>
  <si>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</si>
  <si>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</si>
  <si>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</si>
  <si>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</si>
  <si>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</si>
  <si>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</si>
  <si>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</si>
  <si>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</si>
  <si>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</si>
  <si>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</si>
  <si>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</si>
  <si>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</si>
  <si>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</si>
  <si>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</si>
  <si>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</si>
  <si>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</si>
  <si>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</si>
  <si>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</si>
  <si>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</si>
  <si>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</si>
  <si>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</si>
  <si>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</si>
  <si>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</si>
  <si>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</si>
  <si>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</si>
  <si>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</si>
  <si>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</si>
  <si>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</si>
  <si>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</si>
  <si>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</si>
  <si>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</si>
  <si>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</si>
  <si>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</si>
  <si>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</si>
  <si>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</si>
  <si>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</si>
  <si>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</si>
  <si>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</si>
  <si>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</si>
  <si>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</si>
  <si>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</si>
  <si>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</si>
  <si>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</si>
  <si>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</si>
  <si>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</si>
  <si>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</si>
  <si>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</si>
  <si>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</si>
  <si>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</si>
  <si>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</si>
  <si>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</si>
  <si>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</si>
  <si>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</si>
  <si>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</si>
  <si>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</si>
  <si>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</si>
  <si>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</si>
  <si>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</si>
  <si>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</si>
  <si>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</si>
  <si>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</si>
  <si>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</si>
  <si>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</si>
  <si>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</si>
  <si>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</si>
  <si>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</si>
  <si>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</si>
  <si>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</si>
  <si>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</si>
  <si>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</si>
  <si>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</si>
  <si>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</si>
  <si>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</si>
  <si>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</si>
  <si>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</si>
  <si>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</si>
  <si>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</si>
  <si>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</si>
  <si>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</si>
  <si>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</si>
  <si>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</si>
  <si>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</si>
  <si>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</si>
  <si>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</si>
  <si>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</si>
  <si>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</si>
  <si>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</si>
  <si>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</si>
  <si>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</si>
  <si>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</si>
  <si>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</si>
  <si>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</si>
  <si>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</si>
  <si>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</si>
  <si>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</si>
  <si>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</si>
  <si>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</si>
  <si>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</si>
  <si>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</si>
  <si>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</si>
  <si>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</si>
  <si>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</si>
  <si>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</si>
  <si>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</si>
  <si>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</si>
  <si>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</si>
  <si>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</si>
  <si>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</si>
  <si>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</si>
  <si>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</si>
  <si>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</si>
  <si>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</si>
  <si>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</si>
  <si>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</si>
  <si>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</si>
  <si>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</si>
  <si>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</si>
  <si>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</si>
  <si>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</si>
  <si>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</si>
  <si>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</si>
  <si>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</si>
  <si>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</si>
  <si>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</si>
  <si>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</si>
  <si>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</si>
  <si>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</si>
  <si>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</si>
  <si>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</si>
  <si>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</si>
  <si>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</si>
  <si>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</si>
  <si>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</si>
  <si>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</si>
  <si>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</si>
  <si>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</si>
  <si>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</si>
  <si>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</si>
  <si>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</si>
  <si>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</si>
  <si>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</si>
  <si>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</si>
  <si>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</si>
  <si>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</si>
  <si>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</si>
  <si>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</si>
  <si>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</si>
  <si>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</si>
  <si>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</si>
  <si>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</si>
  <si>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</si>
  <si>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</si>
  <si>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</si>
  <si>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</si>
  <si>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</si>
  <si>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</si>
  <si>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</si>
  <si>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</si>
  <si>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</si>
  <si>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</si>
  <si>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</si>
  <si>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</si>
  <si>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</si>
  <si>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</si>
  <si>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</si>
  <si>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</si>
  <si>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</si>
  <si>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</si>
  <si>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</si>
  <si>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</si>
  <si>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</si>
  <si>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</si>
  <si>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</si>
  <si>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</si>
  <si>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</si>
  <si>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</si>
  <si>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</si>
  <si>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</si>
  <si>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</si>
  <si>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</si>
  <si>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</si>
  <si>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</si>
  <si>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</si>
  <si>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</si>
  <si>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</si>
  <si>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</si>
  <si>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</si>
  <si>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</si>
  <si>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</si>
  <si>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</si>
  <si>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</si>
  <si>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</si>
  <si>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</si>
  <si>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</si>
  <si>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</si>
  <si>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</si>
  <si>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</si>
  <si>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</si>
  <si>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</si>
  <si>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</si>
  <si>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</si>
  <si>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</si>
  <si>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</si>
  <si>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</si>
  <si>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</si>
  <si>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</si>
  <si>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</si>
  <si>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</si>
  <si>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</si>
  <si>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</si>
  <si>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</si>
  <si>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</si>
  <si>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</si>
  <si>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</si>
  <si>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</si>
  <si>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</si>
  <si>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</si>
  <si>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</si>
  <si>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</si>
  <si>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</si>
  <si>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</si>
  <si>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</si>
  <si>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</si>
  <si>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</si>
  <si>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</si>
  <si>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</si>
  <si>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</si>
  <si>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</si>
  <si>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</si>
  <si>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</si>
  <si>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</si>
  <si>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</si>
  <si>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</si>
  <si>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</si>
  <si>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</si>
  <si>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</si>
  <si>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</si>
  <si>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</si>
  <si>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</si>
  <si>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</si>
  <si>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</si>
  <si>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</si>
  <si>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</si>
  <si>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</si>
  <si>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</si>
  <si>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</si>
  <si>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</si>
  <si>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</si>
  <si>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</si>
  <si>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</si>
  <si>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</si>
  <si>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</si>
  <si>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</si>
  <si>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</si>
  <si>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</si>
  <si>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</si>
  <si>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</si>
  <si>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</si>
  <si>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</si>
  <si>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</si>
  <si>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</si>
  <si>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</si>
  <si>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</si>
  <si>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</si>
  <si>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</si>
  <si>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</si>
  <si>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</si>
  <si>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</si>
  <si>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</si>
  <si>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</si>
  <si>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</si>
  <si>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</si>
  <si>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</si>
  <si>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</si>
  <si>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</si>
  <si>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</si>
  <si>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</si>
  <si>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</si>
  <si>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</si>
  <si>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</si>
  <si>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</si>
  <si>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</si>
  <si>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</si>
  <si>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</si>
  <si>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</si>
  <si>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</si>
  <si>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</si>
  <si>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</si>
  <si>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</si>
  <si>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</si>
  <si>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</si>
  <si>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</si>
  <si>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</si>
  <si>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</si>
  <si>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</si>
  <si>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</si>
  <si>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</si>
  <si>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</si>
  <si>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</si>
  <si>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</si>
  <si>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</si>
  <si>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</si>
  <si>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</si>
  <si>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</si>
  <si>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</si>
  <si>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</si>
  <si>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</si>
  <si>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</si>
  <si>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</si>
  <si>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</si>
  <si>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</si>
  <si>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</si>
  <si>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</si>
  <si>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</si>
  <si>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</si>
  <si>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</si>
  <si>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</si>
  <si>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</si>
  <si>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</si>
  <si>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</si>
  <si>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</si>
  <si>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</si>
  <si>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</si>
  <si>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</si>
  <si>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</si>
  <si>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</si>
  <si>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</si>
  <si>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</si>
  <si>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</si>
  <si>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</si>
  <si>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</si>
  <si>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</si>
  <si>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</si>
  <si>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</si>
  <si>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</si>
  <si>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</si>
  <si>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</si>
  <si>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</si>
  <si>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</si>
  <si>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</si>
  <si>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</si>
  <si>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</si>
  <si>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</si>
  <si>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</si>
  <si>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</si>
  <si>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</si>
  <si>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</si>
  <si>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</si>
  <si>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</si>
  <si>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</si>
  <si>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</si>
  <si>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</si>
  <si>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</si>
  <si>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</si>
  <si>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</si>
  <si>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</si>
  <si>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</si>
  <si>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</si>
  <si>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</si>
  <si>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</si>
  <si>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</si>
  <si>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</si>
  <si>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</si>
  <si>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</si>
  <si>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</si>
  <si>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</si>
  <si>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</si>
  <si>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</si>
  <si>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</si>
  <si>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</si>
  <si>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</si>
  <si>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</si>
  <si>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</si>
  <si>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</si>
  <si>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</si>
  <si>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</si>
  <si>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</si>
  <si>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</si>
  <si>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</si>
  <si>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</si>
  <si>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</si>
  <si>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</si>
  <si>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</si>
  <si>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</si>
  <si>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</si>
  <si>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</si>
  <si>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</si>
  <si>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</si>
  <si>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</si>
  <si>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</si>
  <si>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</si>
  <si>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</si>
  <si>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</si>
  <si>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</si>
  <si>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</si>
  <si>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</si>
  <si>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</si>
  <si>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</si>
  <si>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</si>
  <si>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</si>
  <si>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</si>
  <si>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</si>
  <si>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</si>
  <si>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</si>
  <si>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</si>
  <si>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</si>
  <si>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</si>
  <si>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</si>
  <si>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</si>
  <si>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</si>
  <si>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</si>
  <si>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</si>
  <si>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</si>
  <si>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</si>
  <si>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</si>
  <si>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</si>
  <si>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</si>
  <si>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</si>
  <si>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</si>
  <si>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</si>
  <si>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</si>
  <si>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</si>
  <si>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</si>
  <si>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</si>
  <si>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</si>
  <si>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</si>
  <si>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</si>
  <si>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</si>
  <si>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</si>
  <si>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</si>
  <si>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</si>
  <si>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</si>
  <si>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</si>
  <si>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</si>
  <si>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</si>
  <si>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</si>
  <si>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</si>
  <si>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</si>
  <si>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</si>
  <si>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</si>
  <si>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</si>
  <si>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</si>
  <si>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</si>
  <si>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</si>
  <si>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</si>
  <si>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</si>
  <si>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</si>
  <si>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</si>
  <si>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</si>
  <si>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</si>
  <si>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</si>
  <si>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</si>
  <si>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</si>
  <si>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</si>
  <si>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</si>
  <si>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</si>
  <si>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</si>
  <si>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</si>
  <si>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</si>
  <si>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</si>
  <si>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</si>
  <si>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</si>
  <si>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</si>
  <si>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</si>
  <si>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</si>
  <si>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</si>
  <si>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</si>
  <si>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</si>
  <si>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</si>
  <si>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</si>
  <si>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</si>
  <si>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</si>
  <si>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</si>
  <si>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</si>
  <si>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</si>
  <si>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</si>
  <si>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</si>
  <si>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</si>
  <si>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</si>
  <si>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</si>
  <si>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</si>
  <si>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</si>
  <si>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</si>
  <si>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</si>
  <si>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</si>
  <si>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</si>
  <si>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</si>
  <si>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</si>
  <si>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</si>
  <si>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</si>
  <si>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</si>
  <si>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</si>
  <si>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</si>
  <si>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</si>
  <si>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</si>
  <si>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</si>
  <si>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</si>
  <si>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</si>
  <si>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</si>
  <si>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</si>
  <si>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</si>
  <si>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</si>
  <si>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</si>
  <si>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</si>
  <si>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</si>
  <si>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</si>
  <si>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</si>
  <si>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</si>
  <si>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</si>
  <si>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</si>
  <si>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</si>
  <si>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</si>
  <si>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</si>
  <si>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</si>
  <si>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</si>
  <si>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</si>
  <si>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</si>
  <si>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</si>
  <si>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</si>
  <si>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</si>
  <si>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</si>
  <si>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</si>
  <si>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</si>
  <si>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</si>
  <si>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</si>
  <si>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</si>
  <si>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</si>
  <si>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</si>
  <si>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</si>
  <si>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</si>
  <si>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</si>
  <si>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</si>
  <si>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</si>
  <si>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</si>
  <si>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</si>
  <si>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</si>
  <si>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</si>
  <si>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</si>
  <si>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</si>
  <si>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</si>
  <si>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</si>
  <si>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</si>
  <si>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</si>
  <si>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</si>
  <si>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</si>
  <si>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</si>
  <si>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</si>
  <si>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</si>
  <si>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</si>
  <si>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</si>
  <si>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</si>
  <si>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</si>
  <si>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</si>
  <si>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</si>
  <si>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</si>
  <si>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</si>
  <si>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</si>
  <si>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</si>
  <si>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</si>
  <si>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</si>
  <si>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</si>
  <si>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</si>
  <si>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</si>
  <si>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</si>
  <si>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</si>
  <si>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</si>
  <si>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</si>
  <si>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</si>
  <si>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</si>
  <si>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</si>
  <si>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</si>
  <si>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</si>
  <si>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</si>
  <si>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</si>
  <si>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</si>
  <si>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</si>
  <si>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</si>
  <si>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</si>
  <si>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</si>
  <si>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</si>
  <si>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</si>
  <si>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</si>
  <si>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</si>
  <si>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</si>
  <si>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</si>
  <si>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</si>
  <si>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</si>
  <si>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</si>
  <si>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</si>
  <si>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</si>
  <si>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</si>
  <si>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</si>
  <si>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</si>
  <si>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</si>
  <si>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</si>
  <si>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</si>
  <si>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</si>
  <si>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</si>
  <si>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</si>
  <si>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</si>
  <si>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</si>
  <si>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</si>
  <si>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</si>
  <si>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</si>
  <si>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</si>
  <si>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</si>
  <si>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</si>
  <si>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</si>
  <si>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</si>
  <si>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</si>
  <si>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</si>
  <si>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</si>
  <si>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</si>
  <si>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</si>
  <si>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</si>
  <si>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</si>
  <si>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</si>
  <si>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</si>
  <si>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</si>
  <si>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</si>
  <si>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</si>
  <si>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</si>
  <si>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</si>
  <si>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</si>
  <si>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</si>
  <si>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</si>
  <si>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</si>
  <si>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</si>
  <si>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</si>
  <si>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</si>
  <si>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</si>
  <si>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</si>
  <si>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</si>
  <si>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</si>
  <si>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</si>
  <si>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</si>
  <si>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</si>
  <si>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</si>
  <si>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</si>
  <si>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</si>
  <si>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</si>
  <si>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</si>
  <si>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</si>
  <si>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</si>
  <si>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</si>
  <si>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</si>
  <si>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</si>
  <si>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</si>
  <si>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</si>
  <si>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</si>
  <si>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</si>
  <si>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</si>
  <si>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</si>
  <si>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</si>
  <si>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</si>
  <si>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</si>
  <si>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</si>
  <si>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</si>
  <si>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</si>
  <si>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</si>
  <si>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</si>
  <si>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</si>
  <si>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</si>
  <si>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</si>
  <si>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</si>
  <si>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</si>
  <si>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</si>
  <si>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</si>
  <si>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</si>
  <si>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</si>
  <si>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</si>
  <si>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</si>
  <si>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</si>
  <si>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</si>
  <si>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</si>
  <si>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</si>
  <si>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</si>
  <si>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</si>
  <si>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</si>
  <si>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</si>
  <si>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</si>
  <si>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</si>
  <si>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</si>
  <si>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</si>
  <si>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</si>
  <si>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</si>
  <si>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</si>
  <si>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</si>
  <si>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</si>
  <si>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</si>
  <si>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</si>
  <si>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</si>
  <si>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</si>
  <si>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</si>
  <si>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</si>
  <si>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</si>
  <si>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</si>
  <si>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</si>
  <si>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</si>
  <si>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</si>
  <si>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</si>
  <si>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</si>
  <si>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</si>
  <si>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</si>
  <si>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</si>
  <si>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</si>
  <si>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</si>
  <si>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</si>
  <si>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</si>
  <si>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</si>
  <si>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</si>
  <si>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</si>
  <si>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</si>
  <si>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</si>
  <si>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</si>
  <si>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</si>
  <si>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</si>
  <si>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</si>
  <si>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</si>
  <si>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</si>
  <si>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</si>
  <si>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</si>
  <si>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</si>
  <si>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</si>
  <si>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</si>
  <si>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</si>
  <si>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</si>
  <si>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</si>
  <si>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</si>
  <si>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</si>
  <si>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</si>
  <si>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</si>
  <si>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</si>
  <si>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</si>
  <si>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</si>
  <si>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</si>
  <si>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</si>
  <si>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</si>
  <si>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</si>
  <si>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</si>
  <si>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</si>
  <si>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</si>
  <si>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</si>
  <si>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</si>
  <si>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</si>
  <si>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</si>
  <si>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</si>
  <si>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</si>
  <si>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</si>
  <si>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</si>
  <si>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</si>
  <si>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</si>
  <si>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</si>
  <si>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</si>
  <si>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</si>
  <si>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</si>
  <si>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</si>
  <si>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</si>
  <si>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</si>
  <si>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</si>
  <si>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</si>
  <si>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</si>
  <si>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</si>
  <si>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</si>
  <si>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</si>
  <si>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</si>
  <si>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</si>
  <si>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</si>
  <si>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</si>
  <si>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</si>
  <si>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</si>
  <si>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</si>
  <si>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</si>
  <si>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</si>
  <si>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</si>
  <si>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</si>
  <si>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</si>
  <si>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</si>
  <si>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</si>
  <si>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</si>
  <si>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</si>
  <si>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</si>
  <si>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</si>
  <si>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</si>
  <si>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</si>
  <si>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</si>
  <si>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</si>
  <si>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</si>
  <si>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</si>
  <si>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</si>
  <si>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</si>
  <si>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</si>
  <si>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</si>
  <si>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</si>
  <si>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</si>
  <si>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</si>
  <si>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</si>
  <si>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</si>
  <si>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</si>
  <si>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</si>
  <si>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</si>
  <si>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</si>
  <si>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</si>
  <si>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</si>
  <si>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</si>
  <si>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</si>
  <si>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</si>
  <si>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</si>
  <si>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</si>
  <si>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</si>
  <si>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</si>
  <si>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</si>
  <si>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</si>
  <si>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</si>
  <si>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</si>
  <si>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</si>
  <si>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</si>
  <si>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</si>
  <si>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</si>
  <si>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</si>
  <si>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</si>
  <si>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</si>
  <si>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</si>
  <si>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</si>
  <si>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</si>
  <si>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</si>
  <si>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</si>
  <si>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</si>
  <si>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</si>
  <si>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</si>
  <si>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</si>
  <si>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</si>
  <si>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</si>
  <si>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</si>
  <si>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</si>
  <si>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</si>
  <si>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</si>
  <si>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</si>
  <si>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</si>
  <si>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</si>
  <si>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</si>
  <si>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</si>
  <si>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</si>
  <si>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</si>
  <si>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</si>
  <si>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</si>
  <si>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</si>
  <si>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</si>
  <si>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</si>
  <si>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</si>
  <si>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</si>
  <si>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</si>
  <si>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</si>
  <si>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</si>
  <si>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</si>
  <si>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</si>
  <si>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</si>
  <si>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</si>
  <si>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</si>
  <si>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</si>
  <si>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</si>
  <si>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</si>
  <si>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</si>
  <si>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</si>
  <si>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</si>
  <si>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</si>
  <si>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</si>
  <si>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</si>
  <si>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</si>
  <si>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</si>
  <si>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</si>
  <si>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</si>
  <si>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</si>
  <si>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</si>
  <si>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</si>
  <si>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</si>
  <si>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</si>
  <si>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</si>
  <si>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</si>
  <si>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</si>
  <si>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</si>
  <si>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</si>
  <si>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</si>
  <si>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</si>
  <si>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</si>
  <si>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</si>
  <si>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</si>
  <si>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</si>
  <si>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</si>
  <si>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</si>
  <si>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</si>
  <si>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</si>
  <si>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</si>
  <si>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</si>
  <si>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</si>
  <si>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</si>
  <si>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</si>
  <si>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</si>
  <si>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</si>
  <si>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</si>
  <si>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</si>
  <si>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</si>
  <si>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</si>
  <si>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</si>
  <si>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</si>
  <si>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</si>
  <si>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</si>
  <si>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</si>
  <si>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</si>
  <si>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</si>
  <si>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</si>
  <si>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</si>
  <si>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</si>
  <si>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</si>
  <si>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</si>
  <si>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</si>
  <si>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</si>
  <si>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</si>
  <si>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</si>
  <si>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</si>
  <si>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</si>
  <si>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</si>
  <si>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</si>
  <si>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</si>
  <si>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</si>
  <si>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</si>
  <si>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</si>
  <si>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</si>
  <si>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</si>
  <si>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</si>
  <si>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</si>
  <si>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</si>
  <si>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</si>
  <si>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</si>
  <si>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</si>
  <si>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</si>
  <si>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</si>
  <si>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</si>
  <si>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</si>
  <si>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</si>
  <si>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</si>
  <si>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</si>
  <si>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</si>
  <si>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</si>
  <si>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</si>
  <si>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</si>
  <si>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</si>
  <si>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</si>
  <si>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</si>
  <si>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</si>
  <si>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</si>
  <si>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</si>
  <si>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</si>
  <si>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</si>
  <si>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</si>
  <si>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</si>
  <si>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</si>
  <si>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</si>
  <si>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</si>
  <si>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</si>
  <si>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</si>
  <si>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</si>
  <si>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</si>
  <si>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</si>
  <si>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</si>
  <si>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</si>
  <si>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</si>
  <si>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</si>
  <si>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</si>
  <si>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</si>
  <si>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</si>
  <si>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</si>
  <si>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</si>
  <si>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</si>
  <si>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</si>
  <si>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</si>
  <si>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</si>
  <si>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</si>
  <si>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</si>
  <si>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</si>
  <si>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</si>
  <si>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</si>
  <si>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</si>
  <si>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</si>
  <si>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</si>
  <si>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</si>
  <si>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</si>
  <si>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</si>
  <si>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</si>
  <si>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</si>
  <si>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</si>
  <si>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</si>
  <si>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</si>
  <si>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</si>
  <si>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</si>
  <si>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</si>
  <si>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</si>
  <si>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</si>
  <si>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</si>
  <si>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</si>
  <si>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</si>
  <si>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</si>
  <si>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</si>
  <si>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</si>
  <si>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</si>
  <si>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</si>
  <si>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</si>
  <si>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</si>
  <si>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</si>
  <si>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</si>
  <si>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</si>
  <si>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</si>
  <si>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</si>
  <si>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</si>
  <si>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</si>
  <si>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</si>
  <si>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</si>
  <si>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</si>
  <si>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</si>
  <si>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</si>
  <si>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</si>
  <si>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</si>
  <si>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</si>
  <si>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</si>
  <si>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</si>
  <si>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</si>
  <si>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</si>
  <si>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</si>
  <si>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</si>
  <si>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</si>
  <si>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</si>
  <si>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</si>
  <si>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</si>
  <si>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</si>
  <si>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</si>
  <si>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</si>
  <si>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</si>
  <si>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</si>
  <si>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</si>
  <si>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</si>
  <si>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</si>
  <si>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</si>
  <si>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</si>
  <si>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</si>
  <si>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</si>
  <si>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</si>
  <si>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</si>
  <si>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</si>
  <si>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</si>
  <si>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</si>
  <si>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</si>
  <si>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</si>
  <si>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</si>
  <si>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</si>
  <si>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</si>
  <si>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</si>
  <si>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</si>
  <si>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</si>
  <si>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</si>
  <si>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</si>
  <si>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</si>
  <si>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</si>
  <si>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</si>
  <si>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</si>
  <si>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</si>
  <si>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</si>
  <si>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</si>
  <si>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</si>
  <si>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</si>
  <si>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</si>
  <si>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</si>
  <si>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</si>
  <si>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</si>
  <si>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</si>
  <si>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</si>
  <si>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</si>
  <si>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</si>
  <si>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</si>
  <si>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</si>
  <si>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</si>
  <si>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</si>
  <si>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</si>
  <si>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</si>
  <si>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</si>
  <si>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</si>
  <si>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</si>
  <si>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</si>
  <si>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</si>
  <si>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</si>
  <si>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</si>
  <si>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</si>
  <si>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</si>
  <si>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</si>
  <si>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</si>
  <si>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</si>
  <si>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</si>
  <si>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</si>
  <si>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</si>
  <si>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</si>
  <si>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</si>
  <si>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</si>
  <si>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</si>
  <si>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</si>
  <si>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</si>
  <si>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</si>
  <si>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</si>
  <si>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</si>
  <si>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</si>
  <si>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</si>
  <si>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</si>
  <si>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</si>
  <si>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</si>
  <si>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</si>
  <si>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</si>
  <si>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</si>
  <si>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</si>
  <si>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</si>
  <si>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</si>
  <si>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</si>
  <si>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</si>
  <si>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</si>
  <si>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</si>
  <si>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</si>
  <si>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</si>
  <si>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</si>
  <si>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</si>
  <si>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</si>
  <si>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</si>
  <si>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</si>
  <si>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</si>
  <si>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</si>
  <si>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</si>
  <si>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</si>
  <si>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</si>
  <si>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</si>
  <si>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</si>
  <si>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</si>
  <si>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</si>
  <si>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</si>
  <si>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</si>
  <si>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</si>
  <si>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</si>
  <si>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</si>
  <si>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</si>
  <si>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</si>
  <si>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</si>
  <si>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</si>
  <si>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</si>
  <si>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</si>
  <si>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</si>
  <si>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</si>
  <si>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</si>
  <si>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</si>
  <si>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</si>
  <si>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</si>
  <si>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</si>
  <si>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</si>
  <si>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</si>
  <si>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</si>
  <si>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</si>
  <si>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</si>
  <si>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</si>
  <si>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</si>
  <si>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</si>
  <si>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</si>
  <si>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</si>
  <si>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</si>
  <si>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</si>
  <si>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</si>
  <si>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</si>
  <si>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</si>
  <si>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</si>
  <si>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</si>
  <si>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</si>
  <si>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</si>
  <si>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</si>
  <si>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</si>
  <si>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</si>
  <si>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</si>
  <si>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</si>
  <si>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</si>
  <si>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</si>
  <si>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</si>
  <si>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</si>
  <si>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</si>
  <si>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</si>
  <si>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</si>
  <si>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</si>
  <si>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</si>
  <si>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</si>
  <si>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</si>
  <si>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</si>
  <si>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</si>
  <si>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</si>
  <si>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</si>
  <si>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</si>
  <si>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</si>
  <si>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</si>
  <si>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</si>
  <si>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</si>
  <si>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</si>
  <si>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</si>
  <si>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</si>
  <si>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</si>
  <si>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</si>
  <si>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</si>
  <si>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</si>
  <si>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</si>
  <si>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</si>
  <si>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</si>
  <si>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</si>
  <si>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</si>
  <si>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</si>
  <si>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</si>
  <si>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</si>
  <si>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</si>
  <si>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</si>
  <si>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</si>
  <si>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</si>
  <si>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</si>
  <si>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</si>
  <si>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</si>
  <si>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</si>
  <si>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</si>
  <si>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</si>
  <si>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</si>
  <si>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</si>
  <si>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</si>
  <si>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</si>
  <si>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</si>
  <si>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</si>
  <si>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</si>
  <si>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</si>
  <si>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</si>
  <si>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</si>
  <si>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</si>
  <si>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</si>
  <si>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</si>
  <si>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</si>
  <si>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</si>
  <si>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</si>
  <si>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</si>
  <si>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</si>
  <si>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</si>
  <si>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</si>
  <si>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</si>
  <si>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</si>
  <si>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</si>
  <si>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</si>
  <si>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</si>
  <si>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</si>
  <si>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</si>
  <si>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</si>
  <si>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</si>
  <si>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</si>
  <si>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</si>
  <si>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</si>
  <si>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</si>
  <si>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</si>
  <si>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</si>
  <si>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</si>
  <si>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</si>
  <si>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</si>
  <si>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</si>
  <si>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</si>
  <si>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</si>
  <si>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</si>
  <si>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</si>
  <si>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</si>
  <si>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</si>
  <si>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</si>
  <si>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</si>
  <si>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</si>
  <si>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</si>
  <si>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</si>
  <si>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</si>
  <si>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</si>
  <si>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</si>
  <si>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</si>
  <si>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</si>
  <si>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</si>
  <si>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</si>
  <si>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</si>
  <si>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</si>
  <si>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</si>
  <si>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</si>
  <si>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</si>
  <si>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</si>
  <si>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</si>
  <si>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</si>
  <si>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</si>
  <si>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</si>
  <si>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</si>
  <si>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</si>
  <si>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</si>
  <si>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</si>
  <si>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</si>
  <si>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</si>
  <si>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</si>
  <si>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</si>
  <si>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</si>
  <si>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</si>
  <si>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</si>
  <si>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</si>
  <si>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</si>
  <si>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</si>
  <si>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</si>
  <si>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</si>
  <si>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</si>
  <si>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</si>
  <si>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</si>
  <si>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</si>
  <si>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</si>
  <si>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</si>
  <si>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</si>
  <si>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</si>
  <si>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</si>
  <si>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</si>
  <si>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</si>
  <si>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</si>
  <si>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</si>
  <si>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</si>
  <si>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</si>
  <si>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</si>
  <si>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</si>
  <si>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</si>
  <si>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</si>
  <si>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</si>
  <si>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</si>
  <si>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</si>
  <si>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</si>
  <si>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</si>
  <si>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</si>
  <si>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</si>
  <si>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</si>
  <si>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</si>
  <si>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</si>
  <si>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</si>
  <si>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</si>
  <si>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</si>
  <si>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</si>
  <si>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</si>
  <si>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</si>
  <si>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</si>
  <si>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</si>
  <si>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</si>
  <si>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</si>
  <si>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</si>
  <si>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</si>
  <si>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</si>
  <si>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</si>
  <si>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</si>
  <si>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</si>
  <si>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</si>
  <si>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</si>
  <si>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</si>
  <si>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</si>
  <si>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</si>
  <si>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</si>
  <si>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</si>
  <si>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</si>
  <si>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</si>
  <si>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</si>
  <si>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</si>
  <si>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</si>
  <si>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</si>
  <si>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</si>
  <si>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</si>
  <si>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</si>
  <si>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</si>
  <si>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</si>
  <si>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</si>
  <si>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</si>
  <si>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</si>
  <si>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</si>
  <si>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</si>
  <si>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</si>
  <si>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</si>
  <si>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</si>
  <si>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</si>
  <si>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</si>
  <si>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</si>
  <si>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</si>
  <si>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</si>
  <si>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</si>
  <si>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</si>
  <si>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</si>
  <si>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</si>
  <si>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</si>
  <si>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</si>
  <si>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</si>
  <si>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</si>
  <si>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</si>
  <si>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</si>
  <si>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</si>
  <si>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</si>
  <si>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</si>
  <si>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</si>
  <si>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</si>
  <si>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</si>
  <si>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</si>
  <si>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</si>
  <si>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</si>
  <si>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</si>
  <si>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</si>
  <si>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</si>
  <si>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</si>
  <si>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</si>
  <si>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</si>
  <si>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</si>
  <si>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</si>
  <si>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</si>
  <si>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</si>
  <si>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</si>
  <si>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</si>
  <si>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</si>
  <si>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</si>
  <si>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</si>
  <si>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</si>
  <si>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</si>
  <si>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</si>
  <si>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</si>
  <si>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</si>
  <si>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</si>
  <si>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</si>
  <si>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</si>
  <si>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</si>
  <si>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</si>
  <si>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</si>
  <si>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</si>
  <si>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</si>
  <si>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</si>
  <si>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</si>
  <si>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</si>
  <si>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</si>
  <si>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</si>
  <si>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</si>
  <si>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</si>
  <si>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</si>
  <si>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</si>
  <si>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</si>
  <si>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</si>
  <si>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</si>
  <si>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</si>
  <si>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</si>
  <si>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</si>
  <si>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</si>
  <si>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</si>
  <si>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</si>
  <si>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</si>
  <si>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</si>
  <si>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</si>
  <si>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</si>
  <si>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</si>
  <si>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</si>
  <si>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</si>
  <si>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</si>
  <si>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</si>
  <si>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</si>
  <si>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</si>
  <si>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</si>
  <si>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</si>
  <si>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</si>
  <si>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</si>
  <si>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</si>
  <si>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</si>
  <si>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</si>
  <si>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</si>
  <si>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</si>
  <si>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</si>
  <si>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</si>
  <si>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</si>
  <si>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</si>
  <si>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</si>
  <si>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</si>
  <si>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</si>
  <si>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</si>
  <si>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</si>
  <si>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</si>
  <si>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</si>
  <si>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</si>
  <si>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</si>
  <si>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</si>
  <si>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</si>
  <si>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</si>
  <si>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</si>
  <si>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</si>
  <si>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</si>
  <si>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</si>
  <si>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</si>
  <si>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</si>
  <si>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</si>
  <si>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</si>
  <si>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</si>
  <si>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</si>
  <si>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</si>
  <si>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</si>
  <si>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</si>
  <si>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</si>
  <si>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</si>
  <si>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</si>
  <si>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</si>
  <si>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</si>
  <si>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</si>
  <si>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</si>
  <si>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</si>
  <si>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</si>
  <si>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</si>
  <si>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</si>
  <si>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</si>
  <si>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</si>
  <si>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</si>
  <si>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</si>
  <si>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</si>
  <si>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</si>
  <si>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</si>
  <si>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</si>
  <si>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</si>
  <si>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</si>
  <si>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</si>
  <si>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</si>
  <si>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</si>
  <si>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</si>
  <si>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</si>
  <si>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</si>
  <si>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</si>
  <si>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</si>
  <si>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</si>
  <si>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</si>
  <si>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</si>
  <si>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</si>
  <si>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</si>
  <si>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</si>
  <si>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</si>
  <si>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</si>
  <si>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</si>
  <si>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</si>
  <si>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</si>
  <si>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</si>
  <si>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</si>
  <si>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</si>
  <si>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</si>
  <si>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</si>
  <si>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</si>
  <si>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</si>
  <si>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</si>
  <si>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</si>
  <si>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</si>
  <si>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</si>
  <si>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</si>
  <si>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</si>
  <si>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</si>
  <si>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</si>
  <si>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</si>
  <si>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</si>
  <si>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</si>
  <si>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</si>
  <si>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</si>
  <si>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</si>
  <si>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</si>
  <si>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</si>
  <si>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</si>
  <si>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</si>
  <si>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</si>
  <si>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</si>
  <si>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</si>
  <si>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</si>
  <si>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</si>
  <si>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</si>
  <si>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</si>
  <si>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</si>
  <si>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</si>
  <si>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</si>
  <si>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</si>
  <si>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</si>
  <si>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</si>
  <si>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</si>
  <si>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</si>
  <si>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</si>
  <si>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</si>
  <si>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</si>
  <si>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</si>
  <si>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</si>
  <si>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</si>
  <si>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</si>
  <si>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</si>
  <si>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</si>
  <si>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</si>
  <si>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</si>
  <si>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</si>
  <si>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</si>
  <si>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</si>
  <si>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</si>
  <si>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</si>
  <si>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</si>
  <si>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</si>
  <si>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</si>
  <si>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</si>
  <si>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</si>
  <si>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</si>
  <si>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</si>
  <si>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</si>
  <si>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</si>
  <si>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</si>
  <si>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</si>
  <si>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</si>
  <si>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</si>
  <si>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</si>
  <si>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</si>
  <si>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</si>
  <si>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</si>
  <si>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</si>
  <si>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</si>
  <si>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</si>
  <si>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</si>
  <si>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</si>
  <si>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</si>
  <si>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</si>
  <si>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</si>
  <si>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</si>
  <si>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</si>
  <si>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</si>
  <si>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</si>
  <si>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</si>
  <si>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</si>
  <si>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</si>
  <si>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</si>
  <si>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</si>
  <si>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</si>
  <si>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</si>
  <si>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</si>
  <si>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</si>
  <si>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</si>
  <si>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</si>
  <si>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</si>
  <si>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</si>
  <si>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</si>
  <si>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</si>
  <si>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</si>
  <si>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</si>
  <si>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</si>
  <si>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</si>
  <si>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</si>
  <si>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</si>
  <si>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</si>
  <si>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</si>
  <si>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</si>
  <si>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</si>
  <si>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</si>
  <si>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</si>
  <si>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</si>
  <si>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</si>
  <si>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</si>
  <si>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</si>
  <si>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</si>
  <si>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</si>
  <si>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</si>
  <si>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</si>
  <si>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</si>
  <si>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</si>
  <si>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</si>
  <si>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</si>
  <si>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</si>
  <si>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</si>
  <si>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</si>
  <si>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</si>
  <si>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</si>
  <si>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</si>
  <si>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</si>
  <si>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</si>
  <si>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</si>
  <si>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</si>
  <si>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</si>
  <si>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</si>
  <si>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</si>
  <si>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</si>
  <si>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</si>
  <si>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</si>
  <si>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</si>
  <si>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</si>
  <si>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</si>
  <si>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</si>
  <si>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</si>
  <si>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</si>
  <si>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</si>
  <si>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</si>
  <si>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</si>
  <si>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</si>
  <si>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</si>
  <si>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</si>
  <si>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</si>
  <si>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</si>
  <si>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</si>
  <si>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</si>
  <si>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</si>
  <si>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</si>
  <si>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</si>
  <si>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</si>
  <si>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</si>
  <si>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</si>
  <si>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</si>
  <si>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</si>
  <si>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</si>
  <si>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</si>
  <si>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</si>
  <si>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</si>
  <si>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</si>
  <si>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</si>
  <si>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</si>
  <si>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</si>
  <si>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</si>
  <si>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</si>
  <si>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</si>
  <si>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</si>
  <si>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</si>
  <si>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</si>
  <si>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</si>
  <si>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</si>
  <si>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</si>
  <si>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</si>
  <si>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</si>
  <si>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</si>
  <si>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</si>
  <si>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</si>
  <si>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</si>
  <si>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</si>
  <si>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</si>
  <si>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</si>
  <si>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</si>
  <si>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</si>
  <si>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</si>
  <si>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</si>
  <si>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</si>
  <si>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</si>
  <si>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</si>
  <si>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</si>
  <si>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</si>
  <si>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</si>
  <si>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</si>
  <si>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</si>
  <si>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</si>
  <si>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</si>
  <si>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</si>
  <si>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</si>
  <si>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</si>
  <si>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</si>
  <si>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</si>
  <si>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</si>
  <si>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</si>
  <si>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</si>
  <si>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</si>
  <si>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</si>
  <si>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</si>
  <si>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</si>
  <si>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</si>
  <si>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</si>
  <si>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</si>
  <si>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</si>
  <si>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</si>
  <si>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</si>
  <si>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</si>
  <si>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</si>
  <si>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</si>
  <si>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</si>
  <si>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</si>
  <si>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</si>
  <si>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</si>
  <si>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</si>
  <si>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</si>
  <si>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</si>
  <si>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</si>
  <si>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</si>
  <si>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</si>
  <si>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</si>
  <si>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</si>
  <si>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</si>
  <si>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</si>
  <si>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</si>
  <si>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</si>
  <si>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</si>
  <si>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</si>
  <si>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</si>
  <si>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</si>
  <si>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</si>
  <si>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</si>
  <si>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</si>
  <si>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</si>
  <si>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</si>
  <si>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</si>
  <si>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</si>
  <si>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</si>
  <si>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</si>
  <si>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</si>
  <si>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</si>
  <si>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</si>
  <si>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</si>
  <si>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</si>
  <si>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</si>
  <si>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</si>
  <si>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</si>
  <si>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</si>
  <si>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</si>
  <si>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</si>
  <si>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</si>
  <si>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</si>
  <si>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</si>
  <si>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</si>
  <si>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</si>
  <si>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</si>
  <si>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</si>
  <si>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</si>
  <si>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</si>
  <si>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</si>
  <si>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</si>
  <si>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</si>
  <si>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</si>
  <si>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</si>
  <si>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</si>
  <si>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</si>
  <si>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</si>
  <si>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</si>
  <si>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</si>
  <si>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</si>
  <si>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</si>
  <si>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</si>
  <si>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</si>
  <si>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</si>
  <si>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</si>
  <si>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</si>
  <si>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</si>
  <si>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</si>
  <si>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</si>
  <si>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</si>
  <si>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</si>
  <si>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</si>
  <si>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</si>
  <si>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</si>
  <si>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</si>
  <si>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</si>
  <si>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</si>
  <si>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</si>
  <si>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</si>
  <si>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</si>
  <si>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</si>
  <si>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</si>
  <si>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</si>
  <si>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</si>
  <si>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</si>
  <si>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</si>
  <si>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</si>
  <si>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</si>
  <si>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</si>
  <si>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</si>
  <si>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</si>
  <si>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</si>
  <si>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</si>
  <si>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</si>
  <si>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</si>
  <si>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</si>
  <si>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</si>
  <si>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</si>
  <si>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</si>
  <si>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</si>
  <si>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</si>
  <si>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</si>
  <si>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</si>
  <si>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</si>
  <si>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</si>
  <si>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</si>
  <si>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</si>
  <si>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</si>
  <si>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</si>
  <si>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</si>
  <si>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</si>
  <si>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</si>
  <si>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</si>
  <si>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</si>
  <si>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</si>
  <si>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</si>
  <si>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</si>
  <si>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</si>
  <si>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</si>
  <si>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</si>
  <si>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</si>
  <si>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</si>
  <si>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</si>
  <si>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</si>
  <si>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</si>
  <si>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</si>
  <si>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</si>
  <si>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</si>
  <si>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</si>
  <si>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</si>
  <si>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</si>
  <si>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</si>
  <si>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</si>
  <si>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</si>
  <si>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</si>
  <si>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</si>
  <si>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</si>
  <si>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</si>
  <si>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</si>
  <si>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</si>
  <si>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</si>
  <si>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</si>
  <si>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</si>
  <si>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</si>
  <si>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</si>
  <si>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</si>
  <si>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</si>
  <si>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</si>
  <si>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</si>
  <si>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</si>
  <si>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</si>
  <si>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</si>
  <si>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</si>
  <si>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</si>
  <si>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</si>
  <si>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</si>
  <si>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</si>
  <si>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</si>
  <si>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</si>
  <si>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</si>
  <si>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</si>
  <si>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</si>
  <si>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</si>
  <si>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</si>
  <si>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</si>
  <si>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</si>
  <si>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</si>
  <si>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</si>
  <si>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</si>
  <si>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</si>
  <si>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</si>
  <si>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</si>
  <si>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</si>
  <si>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</si>
  <si>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</si>
  <si>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</si>
  <si>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</si>
  <si>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</si>
  <si>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</si>
  <si>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</si>
  <si>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</si>
  <si>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</si>
  <si>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</si>
  <si>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</si>
  <si>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</si>
  <si>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</si>
  <si>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</si>
  <si>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</si>
  <si>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</si>
  <si>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</si>
  <si>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</si>
  <si>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</si>
  <si>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</si>
  <si>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</si>
  <si>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</si>
  <si>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</si>
  <si>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</si>
  <si>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</si>
  <si>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</si>
  <si>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</si>
  <si>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</si>
  <si>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</si>
  <si>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</si>
  <si>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</si>
  <si>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</si>
  <si>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</si>
  <si>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</si>
  <si>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</si>
  <si>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</si>
  <si>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</si>
  <si>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</si>
  <si>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</si>
  <si>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</si>
  <si>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</si>
  <si>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</si>
  <si>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</si>
  <si>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</si>
  <si>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</si>
  <si>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</si>
  <si>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</si>
  <si>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</si>
  <si>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</si>
  <si>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</si>
  <si>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</si>
  <si>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</si>
  <si>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</si>
  <si>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</si>
  <si>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</si>
  <si>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</si>
  <si>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</si>
  <si>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</si>
  <si>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</si>
  <si>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</si>
  <si>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</si>
  <si>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</si>
  <si>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</si>
  <si>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</si>
  <si>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</si>
  <si>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</si>
  <si>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</si>
  <si>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</si>
  <si>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</si>
  <si>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</si>
  <si>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</si>
  <si>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</si>
  <si>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</si>
  <si>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</si>
  <si>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</si>
  <si>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</si>
  <si>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</si>
  <si>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</si>
  <si>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</si>
  <si>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</si>
  <si>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</si>
  <si>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</si>
  <si>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</si>
  <si>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</si>
  <si>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</si>
  <si>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</si>
  <si>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</si>
  <si>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</si>
  <si>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</si>
  <si>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</si>
  <si>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</si>
  <si>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</si>
  <si>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</si>
  <si>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</si>
  <si>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</si>
  <si>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</si>
  <si>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</si>
  <si>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</si>
  <si>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</si>
  <si>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</si>
  <si>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</si>
  <si>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</si>
  <si>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</si>
  <si>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</si>
  <si>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</si>
  <si>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</si>
  <si>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</si>
  <si>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</si>
  <si>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</si>
  <si>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</si>
  <si>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</si>
  <si>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</si>
  <si>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</si>
  <si>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</si>
  <si>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</si>
  <si>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</si>
  <si>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</si>
  <si>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</si>
  <si>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</si>
  <si>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</si>
  <si>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</si>
  <si>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</si>
  <si>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</si>
  <si>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</si>
  <si>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</si>
  <si>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</si>
  <si>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</si>
  <si>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</si>
  <si>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</si>
  <si>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</si>
  <si>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</si>
  <si>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</si>
  <si>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</si>
  <si>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</si>
  <si>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</si>
  <si>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</si>
  <si>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</si>
  <si>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</si>
  <si>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</si>
  <si>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</si>
  <si>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</si>
  <si>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</si>
  <si>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</si>
  <si>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</si>
  <si>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</si>
  <si>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</si>
  <si>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</si>
  <si>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</si>
  <si>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</si>
  <si>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</si>
  <si>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</si>
  <si>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</si>
  <si>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</si>
  <si>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</si>
  <si>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</si>
  <si>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</si>
  <si>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</si>
  <si>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</si>
  <si>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</si>
  <si>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</si>
  <si>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</si>
  <si>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</si>
  <si>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</si>
  <si>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</si>
  <si>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</si>
  <si>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</si>
  <si>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</si>
  <si>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</si>
  <si>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</si>
  <si>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</si>
  <si>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</si>
  <si>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</si>
  <si>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</si>
  <si>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</si>
  <si>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</si>
  <si>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</si>
  <si>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</si>
  <si>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</si>
  <si>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</si>
  <si>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</si>
  <si>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</si>
  <si>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</si>
  <si>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</si>
  <si>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</si>
  <si>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</si>
  <si>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</si>
  <si>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</si>
  <si>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</si>
  <si>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</si>
  <si>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</si>
  <si>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</si>
  <si>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</si>
  <si>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</si>
  <si>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</si>
  <si>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</si>
  <si>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</si>
  <si>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</si>
  <si>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</si>
  <si>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</si>
  <si>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</si>
  <si>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</si>
  <si>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</si>
  <si>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</si>
  <si>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</si>
  <si>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</si>
  <si>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</si>
  <si>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</si>
  <si>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</si>
  <si>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</si>
  <si>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</si>
  <si>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</si>
  <si>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</si>
  <si>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</si>
  <si>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</si>
  <si>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</si>
  <si>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</si>
  <si>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</si>
  <si>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</si>
  <si>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</si>
  <si>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</si>
  <si>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</si>
  <si>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</si>
  <si>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</si>
  <si>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</si>
  <si>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</si>
  <si>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</si>
  <si>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</si>
  <si>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</si>
  <si>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</si>
  <si>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</si>
  <si>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</si>
  <si>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</si>
  <si>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</si>
  <si>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</si>
  <si>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</si>
  <si>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</si>
  <si>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</si>
  <si>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</si>
  <si>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</si>
  <si>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</si>
  <si>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</si>
  <si>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</si>
  <si>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</si>
  <si>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</si>
  <si>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</si>
  <si>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</si>
  <si>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</si>
  <si>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</si>
  <si>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</si>
  <si>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</si>
  <si>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</si>
  <si>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</si>
  <si>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</si>
  <si>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</si>
  <si>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</si>
  <si>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</si>
  <si>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</si>
  <si>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</si>
  <si>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</si>
  <si>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</si>
  <si>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</si>
  <si>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</si>
  <si>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</si>
  <si>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</si>
  <si>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</si>
  <si>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</si>
  <si>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</si>
  <si>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</si>
  <si>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</si>
  <si>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</si>
  <si>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</si>
  <si>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</si>
  <si>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</si>
  <si>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</si>
  <si>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</si>
  <si>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</si>
  <si>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</si>
  <si>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</si>
  <si>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</si>
  <si>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</si>
  <si>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</si>
  <si>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</si>
  <si>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</si>
  <si>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</si>
  <si>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</si>
  <si>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</si>
  <si>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</si>
  <si>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</si>
  <si>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</si>
  <si>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</si>
  <si>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</si>
  <si>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</si>
  <si>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</si>
  <si>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</si>
  <si>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</si>
  <si>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</si>
  <si>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</si>
  <si>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</si>
  <si>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</si>
  <si>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</si>
  <si>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</si>
  <si>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</si>
  <si>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</si>
  <si>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</si>
  <si>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</si>
  <si>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</si>
  <si>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</si>
  <si>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</si>
  <si>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</si>
  <si>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</si>
  <si>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</si>
  <si>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</si>
  <si>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</si>
  <si>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</si>
  <si>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</si>
  <si>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</si>
  <si>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</si>
  <si>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</si>
  <si>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</si>
  <si>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</si>
  <si>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</si>
  <si>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</si>
  <si>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</si>
  <si>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</si>
  <si>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</si>
  <si>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</si>
  <si>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</si>
  <si>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</si>
  <si>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</si>
  <si>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</si>
  <si>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</si>
  <si>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</si>
  <si>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</si>
  <si>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</si>
  <si>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</si>
  <si>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</si>
  <si>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</si>
  <si>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</si>
  <si>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</si>
  <si>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</si>
  <si>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</si>
  <si>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</si>
  <si>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</si>
  <si>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</si>
  <si>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</si>
  <si>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</si>
  <si>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</si>
  <si>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</si>
  <si>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</si>
  <si>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</si>
  <si>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</si>
  <si>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</si>
  <si>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</si>
  <si>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</si>
  <si>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</si>
  <si>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</si>
  <si>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</si>
  <si>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</si>
  <si>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</si>
  <si>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</si>
  <si>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</si>
  <si>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</si>
  <si>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</si>
  <si>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</si>
  <si>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</si>
  <si>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</si>
  <si>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</si>
  <si>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</si>
  <si>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</si>
  <si>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</si>
  <si>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</si>
  <si>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</si>
  <si>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</si>
  <si>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</si>
  <si>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</si>
  <si>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</si>
  <si>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</si>
  <si>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</si>
  <si>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</si>
  <si>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</si>
  <si>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</si>
  <si>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</si>
  <si>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</si>
  <si>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</si>
  <si>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</si>
  <si>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</si>
  <si>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</si>
  <si>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</si>
  <si>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</si>
  <si>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</si>
  <si>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</si>
  <si>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</si>
  <si>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</si>
  <si>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</si>
  <si>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</si>
  <si>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</si>
  <si>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</si>
  <si>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</si>
  <si>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</si>
  <si>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</si>
  <si>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</si>
  <si>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</si>
  <si>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</si>
  <si>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</si>
  <si>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</si>
  <si>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</si>
  <si>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</si>
  <si>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</si>
  <si>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</si>
  <si>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</si>
  <si>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</si>
  <si>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</si>
  <si>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</si>
  <si>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</si>
  <si>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</si>
  <si>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</si>
  <si>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</si>
  <si>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</si>
  <si>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</si>
  <si>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</si>
  <si>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</si>
  <si>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</si>
  <si>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</si>
  <si>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</si>
  <si>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</si>
  <si>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</si>
  <si>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</si>
  <si>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</si>
  <si>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</si>
  <si>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</si>
  <si>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</si>
  <si>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</si>
  <si>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</si>
  <si>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</si>
  <si>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</si>
  <si>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</si>
  <si>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</si>
  <si>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</si>
  <si>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</si>
  <si>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</si>
  <si>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</si>
  <si>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</si>
  <si>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</si>
  <si>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</si>
  <si>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</si>
  <si>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</si>
  <si>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</si>
  <si>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</si>
  <si>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</si>
  <si>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</si>
  <si>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</si>
  <si>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</si>
  <si>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</si>
  <si>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</si>
  <si>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</si>
  <si>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</si>
  <si>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</si>
  <si>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</si>
  <si>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</si>
  <si>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</si>
  <si>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</si>
  <si>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</si>
  <si>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</si>
  <si>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</si>
  <si>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</si>
  <si>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</si>
  <si>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</si>
  <si>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</si>
  <si>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</si>
  <si>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</si>
  <si>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</si>
  <si>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</si>
  <si>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</si>
  <si>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</si>
  <si>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</si>
  <si>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</si>
  <si>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</si>
  <si>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</si>
  <si>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</si>
  <si>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</si>
  <si>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</si>
  <si>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</si>
  <si>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</si>
  <si>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</si>
  <si>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</si>
  <si>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</si>
  <si>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</si>
  <si>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</si>
  <si>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</si>
  <si>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</si>
  <si>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</si>
  <si>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</si>
  <si>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</si>
  <si>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</si>
  <si>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</si>
  <si>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</si>
  <si>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</si>
  <si>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</si>
  <si>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</si>
  <si>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</si>
  <si>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</si>
  <si>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</si>
  <si>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</si>
  <si>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</si>
  <si>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</si>
  <si>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</si>
  <si>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</si>
  <si>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</si>
  <si>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</si>
  <si>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</si>
  <si>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</si>
  <si>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</si>
  <si>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</si>
  <si>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</si>
  <si>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</si>
  <si>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</si>
  <si>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</si>
  <si>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</si>
  <si>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</si>
  <si>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</si>
  <si>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</si>
  <si>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</si>
  <si>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</si>
  <si>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</si>
  <si>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</si>
  <si>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</si>
  <si>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</si>
  <si>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</si>
  <si>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</si>
  <si>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</si>
  <si>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</si>
  <si>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</si>
  <si>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</si>
  <si>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</si>
  <si>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</si>
  <si>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</si>
  <si>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</si>
  <si>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</si>
  <si>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</si>
  <si>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</si>
  <si>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</si>
  <si>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</si>
  <si>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</si>
  <si>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</si>
  <si>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</si>
  <si>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</si>
  <si>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</si>
  <si>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</si>
  <si>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</si>
  <si>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</si>
  <si>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</si>
  <si>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</si>
  <si>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</si>
  <si>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</si>
  <si>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</si>
  <si>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</si>
  <si>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</si>
  <si>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</si>
  <si>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</si>
  <si>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</si>
  <si>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</si>
  <si>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</si>
  <si>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</si>
  <si>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</si>
  <si>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</si>
  <si>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</si>
  <si>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</si>
  <si>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</si>
  <si>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</si>
  <si>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</si>
  <si>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</si>
  <si>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</si>
  <si>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</si>
  <si>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</si>
  <si>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</si>
  <si>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</si>
  <si>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</si>
  <si>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</si>
  <si>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</si>
  <si>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</si>
  <si>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</si>
  <si>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</si>
  <si>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</si>
  <si>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</si>
  <si>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</si>
  <si>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</si>
  <si>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</si>
  <si>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</si>
  <si>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</si>
  <si>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</si>
  <si>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</si>
  <si>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</si>
  <si>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</si>
  <si>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</si>
  <si>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</si>
  <si>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</si>
  <si>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</si>
  <si>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</si>
  <si>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</si>
  <si>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</si>
  <si>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</si>
  <si>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</si>
  <si>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</si>
  <si>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</si>
  <si>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</si>
  <si>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</si>
  <si>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</si>
  <si>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</si>
  <si>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</si>
  <si>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</si>
  <si>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</si>
  <si>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</si>
  <si>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</si>
  <si>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</si>
  <si>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</si>
  <si>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</si>
  <si>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</si>
  <si>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</si>
  <si>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</si>
  <si>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</si>
  <si>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</si>
  <si>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</si>
  <si>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</si>
  <si>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</si>
  <si>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</si>
  <si>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</si>
  <si>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</si>
  <si>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</si>
  <si>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</si>
  <si>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</si>
  <si>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</si>
  <si>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</si>
  <si>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</si>
  <si>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</si>
  <si>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</si>
  <si>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</si>
  <si>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</si>
  <si>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</si>
  <si>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</si>
  <si>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</si>
  <si>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</si>
  <si>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</si>
  <si>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</si>
  <si>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</si>
  <si>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</si>
  <si>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</si>
  <si>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</si>
  <si>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</si>
  <si>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</si>
  <si>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</si>
  <si>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</si>
  <si>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</si>
  <si>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</si>
  <si>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</si>
  <si>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</si>
  <si>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</si>
  <si>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</si>
  <si>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</si>
  <si>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</si>
  <si>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</si>
  <si>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</si>
  <si>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</si>
  <si>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</si>
  <si>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</si>
  <si>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</si>
  <si>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</si>
  <si>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</si>
  <si>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</si>
  <si>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</si>
  <si>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</si>
  <si>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</si>
  <si>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</si>
  <si>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</si>
  <si>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</si>
  <si>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</si>
  <si>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</si>
  <si>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</si>
  <si>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</si>
  <si>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</si>
  <si>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</si>
  <si>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</si>
  <si>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</si>
  <si>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</si>
  <si>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</si>
  <si>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</si>
  <si>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</si>
  <si>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</si>
  <si>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</si>
  <si>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</si>
  <si>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</si>
  <si>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</si>
  <si>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</si>
  <si>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</si>
  <si>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</si>
  <si>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</si>
  <si>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</si>
  <si>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</si>
  <si>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</si>
  <si>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</si>
  <si>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</si>
  <si>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</si>
  <si>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</si>
  <si>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</si>
  <si>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</si>
  <si>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</si>
  <si>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</si>
  <si>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</si>
  <si>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</si>
  <si>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</si>
  <si>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</si>
  <si>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</si>
  <si>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</si>
  <si>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</si>
  <si>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</si>
  <si>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</si>
  <si>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</si>
  <si>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</si>
  <si>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</si>
  <si>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</si>
  <si>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</si>
  <si>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</si>
  <si>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</si>
  <si>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</si>
  <si>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</si>
  <si>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</si>
  <si>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</si>
  <si>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</si>
  <si>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</si>
  <si>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</si>
  <si>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</si>
  <si>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</si>
  <si>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</si>
  <si>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</si>
  <si>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</si>
  <si>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</si>
  <si>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</si>
  <si>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</si>
  <si>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</si>
  <si>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</si>
  <si>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</si>
  <si>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</si>
  <si>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</si>
  <si>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</si>
  <si>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</si>
  <si>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</si>
  <si>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</si>
  <si>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</si>
  <si>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</si>
  <si>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</si>
  <si>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</si>
  <si>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</si>
  <si>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</si>
  <si>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</si>
  <si>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</si>
  <si>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</si>
  <si>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</si>
  <si>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</si>
  <si>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</si>
  <si>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</si>
  <si>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</si>
  <si>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</si>
  <si>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</si>
  <si>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</si>
  <si>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</si>
  <si>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</si>
  <si>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</si>
  <si>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</si>
  <si>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</si>
  <si>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</si>
  <si>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</si>
  <si>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</si>
  <si>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</si>
  <si>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</si>
  <si>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</si>
  <si>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</si>
  <si>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</si>
  <si>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</si>
  <si>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</si>
  <si>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</si>
  <si>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</si>
  <si>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</si>
  <si>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</si>
  <si>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</si>
  <si>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</si>
  <si>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</si>
  <si>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</si>
  <si>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</si>
  <si>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</si>
  <si>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</si>
  <si>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</si>
  <si>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</si>
  <si>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</si>
  <si>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</si>
  <si>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</si>
  <si>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</si>
  <si>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</si>
  <si>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</si>
  <si>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</si>
  <si>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</si>
  <si>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</si>
  <si>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</si>
  <si>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</si>
  <si>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</si>
  <si>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</si>
  <si>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</si>
  <si>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</si>
  <si>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</si>
  <si>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</si>
  <si>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</si>
  <si>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</si>
  <si>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</si>
  <si>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</si>
  <si>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</si>
  <si>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</si>
  <si>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</si>
  <si>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</si>
  <si>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</si>
  <si>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</si>
  <si>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</si>
  <si>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</si>
  <si>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</si>
  <si>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</si>
  <si>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</si>
  <si>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</si>
  <si>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</si>
  <si>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</si>
  <si>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</si>
  <si>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</si>
  <si>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</si>
  <si>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</si>
  <si>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</si>
  <si>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</si>
  <si>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</si>
  <si>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</si>
  <si>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</si>
  <si>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</si>
  <si>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</si>
  <si>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</si>
  <si>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</si>
  <si>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</si>
  <si>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</si>
  <si>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</si>
  <si>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</si>
  <si>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</si>
  <si>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</si>
  <si>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</si>
  <si>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</si>
  <si>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</si>
  <si>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</si>
  <si>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</si>
  <si>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</si>
  <si>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</si>
  <si>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</si>
  <si>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</si>
  <si>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</si>
  <si>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</si>
  <si>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</si>
  <si>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</si>
  <si>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</si>
  <si>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</si>
  <si>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</si>
  <si>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</si>
  <si>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</si>
  <si>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</si>
  <si>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</si>
  <si>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</si>
  <si>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</si>
  <si>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</si>
  <si>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</si>
  <si>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</si>
  <si>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</si>
  <si>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</si>
  <si>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</si>
  <si>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</si>
  <si>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</si>
  <si>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</si>
  <si>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</si>
  <si>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</si>
  <si>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</si>
  <si>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</si>
  <si>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</si>
  <si>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</si>
  <si>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</si>
  <si>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</si>
  <si>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</si>
  <si>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</si>
  <si>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</si>
  <si>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</si>
  <si>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</si>
  <si>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</si>
  <si>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</si>
  <si>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</si>
  <si>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</si>
  <si>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</si>
  <si>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</si>
  <si>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</si>
  <si>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</si>
  <si>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</si>
  <si>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</si>
  <si>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</si>
  <si>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</si>
  <si>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</si>
  <si>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</si>
  <si>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</si>
  <si>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</si>
  <si>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</si>
  <si>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</si>
  <si>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</si>
  <si>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</si>
  <si>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</si>
  <si>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</si>
  <si>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</si>
  <si>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</si>
  <si>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</si>
  <si>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</si>
  <si>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</si>
  <si>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</si>
  <si>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</si>
  <si>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</si>
  <si>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</si>
  <si>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</si>
  <si>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</si>
  <si>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</si>
  <si>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</si>
  <si>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</si>
  <si>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</si>
  <si>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</si>
  <si>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</si>
  <si>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</si>
  <si>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</si>
  <si>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</si>
  <si>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</si>
  <si>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</si>
  <si>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</si>
  <si>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</si>
  <si>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</si>
  <si>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</si>
  <si>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</si>
  <si>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</si>
  <si>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</si>
  <si>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</si>
  <si>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</si>
  <si>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</si>
  <si>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</si>
  <si>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</si>
  <si>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</si>
  <si>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</si>
  <si>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</si>
  <si>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</si>
  <si>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</si>
  <si>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</si>
  <si>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</si>
  <si>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</si>
  <si>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</si>
  <si>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</si>
  <si>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</si>
  <si>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</si>
  <si>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</si>
  <si>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</si>
  <si>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</si>
  <si>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</si>
  <si>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</si>
  <si>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</si>
  <si>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</si>
  <si>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</si>
  <si>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</si>
  <si>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</si>
  <si>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</si>
  <si>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</si>
  <si>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</si>
  <si>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</si>
  <si>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</si>
  <si>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</si>
  <si>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</si>
  <si>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</si>
  <si>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</si>
  <si>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</si>
  <si>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</si>
  <si>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</si>
  <si>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</si>
  <si>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</si>
  <si>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</si>
  <si>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</si>
  <si>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</si>
  <si>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</si>
  <si>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</si>
  <si>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</si>
  <si>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</si>
  <si>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</si>
  <si>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</si>
  <si>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</si>
  <si>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</si>
  <si>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</si>
  <si>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</si>
  <si>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</si>
  <si>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</si>
  <si>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</si>
  <si>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</si>
  <si>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</si>
  <si>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</si>
  <si>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</si>
  <si>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</si>
  <si>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</si>
  <si>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</si>
  <si>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</si>
  <si>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</si>
  <si>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</si>
  <si>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</si>
  <si>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</si>
  <si>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</si>
  <si>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</si>
  <si>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</si>
  <si>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</si>
  <si>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</si>
  <si>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</si>
  <si>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</si>
  <si>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</si>
  <si>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</si>
  <si>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</si>
  <si>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</si>
  <si>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</si>
  <si>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</si>
  <si>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</si>
  <si>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</si>
  <si>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</si>
  <si>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</si>
  <si>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</si>
  <si>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</si>
  <si>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</si>
  <si>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</si>
  <si>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</si>
  <si>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</si>
  <si>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</si>
  <si>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</si>
  <si>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</si>
  <si>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</si>
  <si>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</si>
  <si>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</si>
  <si>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</si>
  <si>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</si>
  <si>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</si>
  <si>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</si>
  <si>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</si>
  <si>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</si>
  <si>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</si>
  <si>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</si>
  <si>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</si>
  <si>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</si>
  <si>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</si>
  <si>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</si>
  <si>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</si>
  <si>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</si>
  <si>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</si>
  <si>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</si>
  <si>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</si>
  <si>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</si>
  <si>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</si>
  <si>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</si>
  <si>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</si>
  <si>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</si>
  <si>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</si>
  <si>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</si>
  <si>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</si>
  <si>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</si>
  <si>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</si>
  <si>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</si>
  <si>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</si>
  <si>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</si>
  <si>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</si>
  <si>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</si>
  <si>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</si>
  <si>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</si>
  <si>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</si>
  <si>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</si>
  <si>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</si>
  <si>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</si>
  <si>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</si>
  <si>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</si>
  <si>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</si>
  <si>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</si>
  <si>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</si>
  <si>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</si>
  <si>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</si>
  <si>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</si>
  <si>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</si>
  <si>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</si>
  <si>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</si>
  <si>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</si>
  <si>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</si>
  <si>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</si>
  <si>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</si>
  <si>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</si>
  <si>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</si>
  <si>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</si>
  <si>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</si>
  <si>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</si>
  <si>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</si>
  <si>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</si>
  <si>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</si>
  <si>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</si>
  <si>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</si>
  <si>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</si>
  <si>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</si>
  <si>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</si>
  <si>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</si>
  <si>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</si>
  <si>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</si>
  <si>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</si>
  <si>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</si>
  <si>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</si>
  <si>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</si>
  <si>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</si>
  <si>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</si>
  <si>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</si>
  <si>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</si>
  <si>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</si>
  <si>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</si>
  <si>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</si>
  <si>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</si>
  <si>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</si>
  <si>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</si>
  <si>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</si>
  <si>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</si>
  <si>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</si>
  <si>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</si>
  <si>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</si>
  <si>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</si>
  <si>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</si>
  <si>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</si>
  <si>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</si>
  <si>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</si>
  <si>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</si>
  <si>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</si>
  <si>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</si>
  <si>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</si>
  <si>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</si>
  <si>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</si>
  <si>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</si>
  <si>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</si>
  <si>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</si>
  <si>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</si>
  <si>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</si>
  <si>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</si>
  <si>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</si>
  <si>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</si>
  <si>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</si>
  <si>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</si>
  <si>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</si>
  <si>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</si>
  <si>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</si>
  <si>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</si>
  <si>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</si>
  <si>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</si>
  <si>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</si>
  <si>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</si>
  <si>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</si>
  <si>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</si>
  <si>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</si>
  <si>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</si>
  <si>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</si>
  <si>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</si>
  <si>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</si>
  <si>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</si>
  <si>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</si>
  <si>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</si>
  <si>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</si>
  <si>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</si>
  <si>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</si>
  <si>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</si>
  <si>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</si>
  <si>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</si>
  <si>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</si>
  <si>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</si>
  <si>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</si>
  <si>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</si>
  <si>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</si>
  <si>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</si>
  <si>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</si>
  <si>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</si>
  <si>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</si>
  <si>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</si>
  <si>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</si>
  <si>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</si>
  <si>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</si>
  <si>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</si>
  <si>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</si>
  <si>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</si>
  <si>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</si>
  <si>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</si>
  <si>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</si>
  <si>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</si>
  <si>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</si>
  <si>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</si>
  <si>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</si>
  <si>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</si>
  <si>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</si>
  <si>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</si>
  <si>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</si>
  <si>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</si>
  <si>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</si>
  <si>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</si>
  <si>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</si>
  <si>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</si>
  <si>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</si>
  <si>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</si>
  <si>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</si>
  <si>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</si>
  <si>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</si>
  <si>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</si>
  <si>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</si>
  <si>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</si>
  <si>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</si>
  <si>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</si>
  <si>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</si>
  <si>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</si>
  <si>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</si>
  <si>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</si>
  <si>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</si>
  <si>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</si>
  <si>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</si>
  <si>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</si>
  <si>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</si>
  <si>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</si>
  <si>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</si>
  <si>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</si>
  <si>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</si>
  <si>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</si>
  <si>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</si>
  <si>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</si>
  <si>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</si>
  <si>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</si>
  <si>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</si>
  <si>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</si>
  <si>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</si>
  <si>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</si>
  <si>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</si>
  <si>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</si>
  <si>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</si>
  <si>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</si>
  <si>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</si>
  <si>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</si>
  <si>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</si>
  <si>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</si>
  <si>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</si>
  <si>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</si>
  <si>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</si>
  <si>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</si>
  <si>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</si>
  <si>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</si>
  <si>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</si>
  <si>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</si>
  <si>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</si>
  <si>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</si>
  <si>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</si>
  <si>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</si>
  <si>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</si>
  <si>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</si>
  <si>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</si>
  <si>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</si>
  <si>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</si>
  <si>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</si>
  <si>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</si>
  <si>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</si>
  <si>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</si>
  <si>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</si>
  <si>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</si>
  <si>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</si>
  <si>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</si>
  <si>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</si>
  <si>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</si>
  <si>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</si>
  <si>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</si>
  <si>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</si>
  <si>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</si>
  <si>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</si>
  <si>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</si>
  <si>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</si>
  <si>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</si>
  <si>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</si>
  <si>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</si>
  <si>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</si>
  <si>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</si>
  <si>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</si>
  <si>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</si>
  <si>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</si>
  <si>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</si>
  <si>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</si>
  <si>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</si>
  <si>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</si>
  <si>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</si>
  <si>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</si>
  <si>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</si>
  <si>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</si>
  <si>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</si>
  <si>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</si>
  <si>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</si>
  <si>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</si>
  <si>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</si>
  <si>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</si>
  <si>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</si>
  <si>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</si>
  <si>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</si>
  <si>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</si>
  <si>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</si>
  <si>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</si>
  <si>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</si>
  <si>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</si>
  <si>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</si>
  <si>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</si>
  <si>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</si>
  <si>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</si>
  <si>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</si>
  <si>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</si>
  <si>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</si>
  <si>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</si>
  <si>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</si>
  <si>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</si>
  <si>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</si>
  <si>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</si>
  <si>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</si>
  <si>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</si>
  <si>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</si>
  <si>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</si>
  <si>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</si>
  <si>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</si>
  <si>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</si>
  <si>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</si>
  <si>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</si>
  <si>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</si>
  <si>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</si>
  <si>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</si>
  <si>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</si>
  <si>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</si>
  <si>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</si>
  <si>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</si>
  <si>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</si>
  <si>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</si>
  <si>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</si>
  <si>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</si>
  <si>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</si>
  <si>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</si>
  <si>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</si>
  <si>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</si>
  <si>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</si>
  <si>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</si>
  <si>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</si>
  <si>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</si>
  <si>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</si>
  <si>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</si>
  <si>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</si>
  <si>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</si>
  <si>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</si>
  <si>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</si>
  <si>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</si>
  <si>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</si>
  <si>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</si>
  <si>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</si>
  <si>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</si>
  <si>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</si>
  <si>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</si>
  <si>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</si>
  <si>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</si>
  <si>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</si>
  <si>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</si>
  <si>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</si>
  <si>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</si>
  <si>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</si>
  <si>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</si>
  <si>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</si>
  <si>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</si>
  <si>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</si>
  <si>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</si>
  <si>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</si>
  <si>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</si>
  <si>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</si>
  <si>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</si>
  <si>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</si>
  <si>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</si>
  <si>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</si>
  <si>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</si>
  <si>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</si>
  <si>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</si>
  <si>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</si>
  <si>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</si>
  <si>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</si>
  <si>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</si>
  <si>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</si>
  <si>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</si>
  <si>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</si>
  <si>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</si>
  <si>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</si>
  <si>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</si>
  <si>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</si>
  <si>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</si>
  <si>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</si>
  <si>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</si>
  <si>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</si>
  <si>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</si>
  <si>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</si>
  <si>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</si>
  <si>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</si>
  <si>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</si>
  <si>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</si>
  <si>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</si>
  <si>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</si>
  <si>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</si>
  <si>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</si>
  <si>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</si>
  <si>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</si>
  <si>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</si>
  <si>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</si>
  <si>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</si>
  <si>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</si>
  <si>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</si>
  <si>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</si>
  <si>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</si>
  <si>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</si>
  <si>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</si>
  <si>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</si>
  <si>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</si>
  <si>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</si>
  <si>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</si>
  <si>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</si>
  <si>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</si>
  <si>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</si>
  <si>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</si>
  <si>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</si>
  <si>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</si>
  <si>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</si>
  <si>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</si>
  <si>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</si>
  <si>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</si>
  <si>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</si>
  <si>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</si>
  <si>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</si>
  <si>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</si>
  <si>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</si>
  <si>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</si>
  <si>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</si>
  <si>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</si>
  <si>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</si>
  <si>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</si>
  <si>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</si>
  <si>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</si>
  <si>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</si>
  <si>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</si>
  <si>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</si>
  <si>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</si>
  <si>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</si>
  <si>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</si>
  <si>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</si>
  <si>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</si>
  <si>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</si>
  <si>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</si>
  <si>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</si>
  <si>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</si>
  <si>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</si>
  <si>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</si>
  <si>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</si>
  <si>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</si>
  <si>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</si>
  <si>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</si>
  <si>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</si>
  <si>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</si>
  <si>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</si>
  <si>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</si>
  <si>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</si>
  <si>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</si>
  <si>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</si>
  <si>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</si>
  <si>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</si>
  <si>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</si>
  <si>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</si>
  <si>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</si>
  <si>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</si>
  <si>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</si>
  <si>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</si>
  <si>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</si>
  <si>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</si>
  <si>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</si>
  <si>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</si>
  <si>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</si>
  <si>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</si>
  <si>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</si>
  <si>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</si>
  <si>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</si>
  <si>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</si>
  <si>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</si>
  <si>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</si>
  <si>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</si>
  <si>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</si>
  <si>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</si>
  <si>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</si>
  <si>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</si>
  <si>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</si>
  <si>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</si>
  <si>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</si>
  <si>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</si>
  <si>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</si>
  <si>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</si>
  <si>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</si>
  <si>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</si>
  <si>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</si>
  <si>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</si>
  <si>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</si>
  <si>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</si>
  <si>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</si>
  <si>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</si>
  <si>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</si>
  <si>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</si>
  <si>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</si>
  <si>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</si>
  <si>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</si>
  <si>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</si>
  <si>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</si>
  <si>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</si>
  <si>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</si>
  <si>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</si>
  <si>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</si>
  <si>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</si>
  <si>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</si>
  <si>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</si>
  <si>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</si>
  <si>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</si>
  <si>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</si>
  <si>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</si>
  <si>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</si>
  <si>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</si>
  <si>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</si>
  <si>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</si>
  <si>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</si>
  <si>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</si>
  <si>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</si>
  <si>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</si>
  <si>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</si>
  <si>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</si>
  <si>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</si>
  <si>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</si>
  <si>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</si>
  <si>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</si>
  <si>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</si>
  <si>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</si>
  <si>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</si>
  <si>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</si>
  <si>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</si>
  <si>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</si>
  <si>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</si>
  <si>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</si>
  <si>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</si>
  <si>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</si>
  <si>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</si>
  <si>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</si>
  <si>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</si>
  <si>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</si>
  <si>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</si>
  <si>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</si>
  <si>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</si>
  <si>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</si>
  <si>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</si>
  <si>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</si>
  <si>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</si>
  <si>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</si>
  <si>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</si>
  <si>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</si>
  <si>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</si>
  <si>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</si>
  <si>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</si>
  <si>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</si>
  <si>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</si>
  <si>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</si>
  <si>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</si>
  <si>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</si>
  <si>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</si>
  <si>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</si>
  <si>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</si>
  <si>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</si>
  <si>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</si>
  <si>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</si>
  <si>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</si>
  <si>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</si>
  <si>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</si>
  <si>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</si>
  <si>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</si>
  <si>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</si>
  <si>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</si>
  <si>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</si>
  <si>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</si>
  <si>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</si>
  <si>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</si>
  <si>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</si>
  <si>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</si>
  <si>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</si>
  <si>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</si>
  <si>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</si>
  <si>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</si>
  <si>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</si>
  <si>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</si>
  <si>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</si>
  <si>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</si>
  <si>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</si>
  <si>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</si>
  <si>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</si>
  <si>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</si>
  <si>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</si>
  <si>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</si>
  <si>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</si>
  <si>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</si>
  <si>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</si>
  <si>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</si>
  <si>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</si>
  <si>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</si>
  <si>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</si>
  <si>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</si>
  <si>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</si>
  <si>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</si>
  <si>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</si>
  <si>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</si>
  <si>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</si>
  <si>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</si>
  <si>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</si>
  <si>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</si>
  <si>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</si>
  <si>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</si>
  <si>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</si>
  <si>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</si>
  <si>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</si>
  <si>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</si>
  <si>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</si>
  <si>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</si>
  <si>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</si>
  <si>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</si>
  <si>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</si>
  <si>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</si>
  <si>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</si>
  <si>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</si>
  <si>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</si>
  <si>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</si>
  <si>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</si>
  <si>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</si>
  <si>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</si>
  <si>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</si>
  <si>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</si>
  <si>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</si>
  <si>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</si>
  <si>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</si>
  <si>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</si>
  <si>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</si>
  <si>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</si>
  <si>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</si>
  <si>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</si>
  <si>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</si>
  <si>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</si>
  <si>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</si>
  <si>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</si>
  <si>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</si>
  <si>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</si>
  <si>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</si>
  <si>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</si>
  <si>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</si>
  <si>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</si>
  <si>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</si>
  <si>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</si>
  <si>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</si>
  <si>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</si>
  <si>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</si>
  <si>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</si>
  <si>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</si>
  <si>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</si>
  <si>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</si>
  <si>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</si>
  <si>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</si>
  <si>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</si>
  <si>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</si>
  <si>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</si>
  <si>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</si>
  <si>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</si>
  <si>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</si>
  <si>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</si>
  <si>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</si>
  <si>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</si>
  <si>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</si>
  <si>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</si>
  <si>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</si>
  <si>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</si>
  <si>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</si>
  <si>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</si>
  <si>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</si>
  <si>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</si>
  <si>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</si>
  <si>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</si>
  <si>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</si>
  <si>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</si>
  <si>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</si>
  <si>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</si>
  <si>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</si>
  <si>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</si>
  <si>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</si>
  <si>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</si>
  <si>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</si>
  <si>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</si>
  <si>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</si>
  <si>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</si>
  <si>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</si>
  <si>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</si>
  <si>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</si>
  <si>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</si>
  <si>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</si>
  <si>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</si>
  <si>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</si>
  <si>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</si>
  <si>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</si>
  <si>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</si>
  <si>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</si>
  <si>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</si>
  <si>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</si>
  <si>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</si>
  <si>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</si>
  <si>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</si>
  <si>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</si>
  <si>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</si>
  <si>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</si>
  <si>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</si>
  <si>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</si>
  <si>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</si>
  <si>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</si>
  <si>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</si>
  <si>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</si>
  <si>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</si>
  <si>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</si>
  <si>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</si>
  <si>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</si>
  <si>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</si>
  <si>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</si>
  <si>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</si>
  <si>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</si>
  <si>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</si>
  <si>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</si>
  <si>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</si>
  <si>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</si>
  <si>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</si>
  <si>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</si>
  <si>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</si>
  <si>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</si>
  <si>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</si>
  <si>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</si>
  <si>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</si>
  <si>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</si>
  <si>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</si>
  <si>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</si>
  <si>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</si>
  <si>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</si>
  <si>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</si>
  <si>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</si>
  <si>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</si>
  <si>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</si>
  <si>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</si>
  <si>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</si>
  <si>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</si>
  <si>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</si>
  <si>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</si>
  <si>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</si>
  <si>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</si>
  <si>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</si>
  <si>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</si>
  <si>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</si>
  <si>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</si>
  <si>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</si>
  <si>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</si>
  <si>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</si>
  <si>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</si>
  <si>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</si>
  <si>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</si>
  <si>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</si>
  <si>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</si>
  <si>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</si>
  <si>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</si>
  <si>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</si>
  <si>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</si>
  <si>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</si>
  <si>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</si>
  <si>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</si>
  <si>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</si>
  <si>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</si>
  <si>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</si>
  <si>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</si>
  <si>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</si>
  <si>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</si>
  <si>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</si>
  <si>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</si>
  <si>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</si>
  <si>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</si>
  <si>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</si>
  <si>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</si>
  <si>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</si>
  <si>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</si>
  <si>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</si>
  <si>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</si>
  <si>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</si>
  <si>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</si>
  <si>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</si>
  <si>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</si>
  <si>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</si>
  <si>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</si>
  <si>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</si>
  <si>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</si>
  <si>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</si>
  <si>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</si>
  <si>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</si>
  <si>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</si>
  <si>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</si>
  <si>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</si>
  <si>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</si>
  <si>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</si>
  <si>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</si>
  <si>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</si>
  <si>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</si>
  <si>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</si>
  <si>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</si>
  <si>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</si>
  <si>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</si>
  <si>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</si>
  <si>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</si>
  <si>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</si>
  <si>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</si>
  <si>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</si>
  <si>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</si>
  <si>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</si>
  <si>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</si>
  <si>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</si>
  <si>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</si>
  <si>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</si>
  <si>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</si>
  <si>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</si>
  <si>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</si>
  <si>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</si>
  <si>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</si>
  <si>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</si>
  <si>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</si>
  <si>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</si>
  <si>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</si>
  <si>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</si>
  <si>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</si>
  <si>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</si>
  <si>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</si>
  <si>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</si>
  <si>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</si>
  <si>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</si>
  <si>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</si>
  <si>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</si>
  <si>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</si>
  <si>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</si>
  <si>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</si>
  <si>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</si>
  <si>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</si>
  <si>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</si>
  <si>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</si>
  <si>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</si>
  <si>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</si>
  <si>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</si>
  <si>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</si>
  <si>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</si>
  <si>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</si>
  <si>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</si>
  <si>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</si>
  <si>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</si>
  <si>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</si>
  <si>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</si>
  <si>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</si>
  <si>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</si>
  <si>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</si>
  <si>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</si>
  <si>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</si>
  <si>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</si>
  <si>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</si>
  <si>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</si>
  <si>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</si>
  <si>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</si>
  <si>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</si>
  <si>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</si>
  <si>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</si>
  <si>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</si>
  <si>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</si>
  <si>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</si>
  <si>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</si>
  <si>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</si>
  <si>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</si>
  <si>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</si>
  <si>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</si>
  <si>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</si>
  <si>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</si>
  <si>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</si>
  <si>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</si>
  <si>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</si>
  <si>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</si>
  <si>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</si>
  <si>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</si>
  <si>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</si>
  <si>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</si>
  <si>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</si>
  <si>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</si>
  <si>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</si>
  <si>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</si>
  <si>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</si>
  <si>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</si>
  <si>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</si>
  <si>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</si>
  <si>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</si>
  <si>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</si>
  <si>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</si>
  <si>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</si>
  <si>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</si>
  <si>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</si>
  <si>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</si>
  <si>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</si>
  <si>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</si>
  <si>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</si>
  <si>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</si>
  <si>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</si>
  <si>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</si>
  <si>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</si>
  <si>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</si>
  <si>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</si>
  <si>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</si>
  <si>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</si>
  <si>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</si>
  <si>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</si>
  <si>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</si>
  <si>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</si>
  <si>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</si>
  <si>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</si>
  <si>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</si>
  <si>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</si>
  <si>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</si>
  <si>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</si>
  <si>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</si>
  <si>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</si>
  <si>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</si>
  <si>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</si>
  <si>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</si>
  <si>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</si>
  <si>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</si>
  <si>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</si>
  <si>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</si>
  <si>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</si>
  <si>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</si>
  <si>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</si>
  <si>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</si>
  <si>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</si>
  <si>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</si>
  <si>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</si>
  <si>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</si>
  <si>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</si>
  <si>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</si>
  <si>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</si>
  <si>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</si>
  <si>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</si>
  <si>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</si>
  <si>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</si>
  <si>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</si>
  <si>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</si>
  <si>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</si>
  <si>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</si>
  <si>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</si>
  <si>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</si>
  <si>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</si>
  <si>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</si>
  <si>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</si>
  <si>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</si>
  <si>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</si>
  <si>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</si>
  <si>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</si>
  <si>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</si>
  <si>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</si>
  <si>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</si>
  <si>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</si>
  <si>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</si>
  <si>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</si>
  <si>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</si>
  <si>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</si>
  <si>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</si>
  <si>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</si>
  <si>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</si>
  <si>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</si>
  <si>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</si>
  <si>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</si>
  <si>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</si>
  <si>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</si>
  <si>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</si>
  <si>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</si>
  <si>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</si>
  <si>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</si>
  <si>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</si>
  <si>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</si>
  <si>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</si>
  <si>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</si>
  <si>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</si>
  <si>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</si>
  <si>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</si>
  <si>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</si>
  <si>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</si>
  <si>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</si>
  <si>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</si>
  <si>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</si>
  <si>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</si>
  <si>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</si>
  <si>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</si>
  <si>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</si>
  <si>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</si>
  <si>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</si>
  <si>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</si>
  <si>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</si>
  <si>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</si>
  <si>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</si>
  <si>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</si>
  <si>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</si>
  <si>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</si>
  <si>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</si>
  <si>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</si>
  <si>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</si>
  <si>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</si>
  <si>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</si>
  <si>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</si>
  <si>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</si>
  <si>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</si>
  <si>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</si>
  <si>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</si>
  <si>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</si>
  <si>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</si>
  <si>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</si>
  <si>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</si>
  <si>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</si>
  <si>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</si>
  <si>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</si>
  <si>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</si>
  <si>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</si>
  <si>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</si>
  <si>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</si>
  <si>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</si>
  <si>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</si>
  <si>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</si>
  <si>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</si>
  <si>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</si>
  <si>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</si>
  <si>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</si>
  <si>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</si>
  <si>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</si>
  <si>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</si>
  <si>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</si>
  <si>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</si>
  <si>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</si>
  <si>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</si>
  <si>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</si>
  <si>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</si>
  <si>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</si>
  <si>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</si>
  <si>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</si>
  <si>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</si>
  <si>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</si>
  <si>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</si>
  <si>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</si>
  <si>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</si>
  <si>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</si>
  <si>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</si>
  <si>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</si>
  <si>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</si>
  <si>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</si>
  <si>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</si>
  <si>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</si>
  <si>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</si>
  <si>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</si>
  <si>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</si>
  <si>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</si>
  <si>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</si>
  <si>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</si>
  <si>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</si>
  <si>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</si>
  <si>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</si>
  <si>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</si>
  <si>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</si>
  <si>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</si>
  <si>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</si>
  <si>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</si>
  <si>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</si>
  <si>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</si>
  <si>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</si>
  <si>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</si>
  <si>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</si>
  <si>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</si>
  <si>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</si>
  <si>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</si>
  <si>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</si>
  <si>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</si>
  <si>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</si>
  <si>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</si>
  <si>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</si>
  <si>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</si>
  <si>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</si>
  <si>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</si>
  <si>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</si>
  <si>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</si>
  <si>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</si>
  <si>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</si>
  <si>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</si>
  <si>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</si>
  <si>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</si>
  <si>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</si>
  <si>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</si>
  <si>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</si>
  <si>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</si>
  <si>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</si>
  <si>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</si>
  <si>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</si>
  <si>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</si>
  <si>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</si>
  <si>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</si>
  <si>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</si>
  <si>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</si>
  <si>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</si>
  <si>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</si>
  <si>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</si>
  <si>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</si>
  <si>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</si>
  <si>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</si>
  <si>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</si>
  <si>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</si>
  <si>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</si>
  <si>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</si>
  <si>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</si>
  <si>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</si>
  <si>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</si>
  <si>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</si>
  <si>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</si>
  <si>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</si>
  <si>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</si>
  <si>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</si>
  <si>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</si>
  <si>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</si>
  <si>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</si>
  <si>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</si>
  <si>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</si>
  <si>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</si>
  <si>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</si>
  <si>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</si>
  <si>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</si>
  <si>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</si>
  <si>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</si>
  <si>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</si>
  <si>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</si>
  <si>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</si>
  <si>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</si>
  <si>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</si>
  <si>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</si>
  <si>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</si>
  <si>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</si>
  <si>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</si>
  <si>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</si>
  <si>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</si>
  <si>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</si>
  <si>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</si>
  <si>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</si>
  <si>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</si>
  <si>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</si>
  <si>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</si>
  <si>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</si>
  <si>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</si>
  <si>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</si>
  <si>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</si>
  <si>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</si>
  <si>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</si>
  <si>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</si>
  <si>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</si>
  <si>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</si>
  <si>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</si>
  <si>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</si>
  <si>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</si>
  <si>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</si>
  <si>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</si>
  <si>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</si>
  <si>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</si>
  <si>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</si>
  <si>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</si>
  <si>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</si>
  <si>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</si>
  <si>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</si>
  <si>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</si>
  <si>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</si>
  <si>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</si>
  <si>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</si>
  <si>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</si>
  <si>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</si>
  <si>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</si>
  <si>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</si>
  <si>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</si>
  <si>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</si>
  <si>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</si>
  <si>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</si>
  <si>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</si>
  <si>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</si>
  <si>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</si>
  <si>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</si>
  <si>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</si>
  <si>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</si>
  <si>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</si>
  <si>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</si>
  <si>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</si>
  <si>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</si>
  <si>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</si>
  <si>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</si>
  <si>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</si>
  <si>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</si>
  <si>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</si>
  <si>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</si>
  <si>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</si>
  <si>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</si>
  <si>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</si>
  <si>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</si>
  <si>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</si>
  <si>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</si>
  <si>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</si>
  <si>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</si>
  <si>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</si>
  <si>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</si>
  <si>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</si>
  <si>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</si>
  <si>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</si>
  <si>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</si>
  <si>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</si>
  <si>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</si>
  <si>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</si>
  <si>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</si>
  <si>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</si>
  <si>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</si>
  <si>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</si>
  <si>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</si>
  <si>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</si>
  <si>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</si>
  <si>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</si>
  <si>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</si>
  <si>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</si>
  <si>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</si>
  <si>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</si>
  <si>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</si>
  <si>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</si>
  <si>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</si>
  <si>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</si>
  <si>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</si>
  <si>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</si>
  <si>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</si>
  <si>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</si>
  <si>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</si>
  <si>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</si>
  <si>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</si>
  <si>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</si>
  <si>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</si>
  <si>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</si>
  <si>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</si>
  <si>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</si>
  <si>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</si>
  <si>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</si>
  <si>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</si>
  <si>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</si>
  <si>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</si>
  <si>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</si>
  <si>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</si>
  <si>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</si>
  <si>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</si>
  <si>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</si>
  <si>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</si>
  <si>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</si>
  <si>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</si>
  <si>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</si>
  <si>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</si>
  <si>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</si>
  <si>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</si>
  <si>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</si>
  <si>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</si>
  <si>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</si>
  <si>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</si>
  <si>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</si>
  <si>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</si>
  <si>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</si>
  <si>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</si>
  <si>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</si>
  <si>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</si>
  <si>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</si>
  <si>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</si>
  <si>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</si>
  <si>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</si>
  <si>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</si>
  <si>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</si>
  <si>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</si>
  <si>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</si>
  <si>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</si>
  <si>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</si>
  <si>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</si>
  <si>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</si>
  <si>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</si>
  <si>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</si>
  <si>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</si>
  <si>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</si>
  <si>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</si>
  <si>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</si>
  <si>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</si>
  <si>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</si>
  <si>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</si>
  <si>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</si>
  <si>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</si>
  <si>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</si>
  <si>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</si>
  <si>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</si>
  <si>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</si>
  <si>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</si>
  <si>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</si>
  <si>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</si>
  <si>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</si>
  <si>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</si>
  <si>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</si>
  <si>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</si>
  <si>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</si>
  <si>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</si>
  <si>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</si>
  <si>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</si>
  <si>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</si>
  <si>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</si>
  <si>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</si>
  <si>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</si>
  <si>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</si>
  <si>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</si>
  <si>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</si>
  <si>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</si>
  <si>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</si>
  <si>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</si>
  <si>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</si>
  <si>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</si>
  <si>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</si>
  <si>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</si>
  <si>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</si>
  <si>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</si>
  <si>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</si>
  <si>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</si>
  <si>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</si>
  <si>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</si>
  <si>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</si>
  <si>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</si>
  <si>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</si>
  <si>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</si>
  <si>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</si>
  <si>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</si>
  <si>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</si>
  <si>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</si>
  <si>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</si>
  <si>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</si>
  <si>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</si>
  <si>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</si>
  <si>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</si>
  <si>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</si>
  <si>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</si>
  <si>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</si>
  <si>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</si>
  <si>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</si>
  <si>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</si>
  <si>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</si>
  <si>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</si>
  <si>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</si>
  <si>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</si>
  <si>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</si>
  <si>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</si>
  <si>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</si>
  <si>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</si>
  <si>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</si>
  <si>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</si>
  <si>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</si>
  <si>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</si>
  <si>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</si>
  <si>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</si>
  <si>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</si>
  <si>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</si>
  <si>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</si>
  <si>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</si>
  <si>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</si>
  <si>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</si>
  <si>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</si>
  <si>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</si>
  <si>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</si>
  <si>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</si>
  <si>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</si>
  <si>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</si>
  <si>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</si>
  <si>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</si>
  <si>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</si>
  <si>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</si>
  <si>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</si>
  <si>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</si>
  <si>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</si>
  <si>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</si>
  <si>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</si>
  <si>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</si>
  <si>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</si>
  <si>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</si>
  <si>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</si>
  <si>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</si>
  <si>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</si>
  <si>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</si>
  <si>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</si>
  <si>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</si>
  <si>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</si>
  <si>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</si>
  <si>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</si>
  <si>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</si>
  <si>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</si>
  <si>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</si>
  <si>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</si>
  <si>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</si>
  <si>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</si>
  <si>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</si>
  <si>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</si>
  <si>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</si>
  <si>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</si>
  <si>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</si>
  <si>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</si>
  <si>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</si>
  <si>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</si>
  <si>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</si>
  <si>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</si>
  <si>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</si>
  <si>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</si>
  <si>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</si>
  <si>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</si>
  <si>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</si>
  <si>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</si>
  <si>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</si>
  <si>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</si>
  <si>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</si>
  <si>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</si>
  <si>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</si>
  <si>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</si>
  <si>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</si>
  <si>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</si>
  <si>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</si>
  <si>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</si>
  <si>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</si>
  <si>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</si>
  <si>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</si>
  <si>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</si>
  <si>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</si>
  <si>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</si>
  <si>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</si>
  <si>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</si>
  <si>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</si>
  <si>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</si>
  <si>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</si>
  <si>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</si>
  <si>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</si>
  <si>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</si>
  <si>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</si>
  <si>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</si>
  <si>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</si>
  <si>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</si>
  <si>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</si>
  <si>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</si>
  <si>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</si>
  <si>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</si>
  <si>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</si>
  <si>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</si>
  <si>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</si>
  <si>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</si>
  <si>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</si>
  <si>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</si>
  <si>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</si>
  <si>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</si>
  <si>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</si>
  <si>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</si>
  <si>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</si>
  <si>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</si>
  <si>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</si>
  <si>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</si>
  <si>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</si>
  <si>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</si>
  <si>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</si>
  <si>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</si>
  <si>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</si>
  <si>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</si>
  <si>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</si>
  <si>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</si>
  <si>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</si>
  <si>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</si>
  <si>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</si>
  <si>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</si>
  <si>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</si>
  <si>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</si>
  <si>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</si>
  <si>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</si>
  <si>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</si>
  <si>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</si>
  <si>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</si>
  <si>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</si>
  <si>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</si>
  <si>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</si>
  <si>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</si>
  <si>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</si>
  <si>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</si>
  <si>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</si>
  <si>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</si>
  <si>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</si>
  <si>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</si>
  <si>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</si>
  <si>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</si>
  <si>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</si>
  <si>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</si>
  <si>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</si>
  <si>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</si>
  <si>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</si>
  <si>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</si>
  <si>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</si>
  <si>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</si>
  <si>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</si>
  <si>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</si>
  <si>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</si>
  <si>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</si>
  <si>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</si>
  <si>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</si>
  <si>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</si>
  <si>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</si>
  <si>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</si>
  <si>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</si>
  <si>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</si>
  <si>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</si>
  <si>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</si>
  <si>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</si>
  <si>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</si>
  <si>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</si>
  <si>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</si>
  <si>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</si>
  <si>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</si>
  <si>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</si>
  <si>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</si>
  <si>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</si>
  <si>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</si>
  <si>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</si>
  <si>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</si>
  <si>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</si>
  <si>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</si>
  <si>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</si>
  <si>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</si>
  <si>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</si>
  <si>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</si>
  <si>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</si>
  <si>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</si>
  <si>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</si>
  <si>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</si>
  <si>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</si>
  <si>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</si>
  <si>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</si>
  <si>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</si>
  <si>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</si>
  <si>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</si>
  <si>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</si>
  <si>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</si>
  <si>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</si>
  <si>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</si>
  <si>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</si>
  <si>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</si>
  <si>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</si>
  <si>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</si>
  <si>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</si>
  <si>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</si>
  <si>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</si>
  <si>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</si>
  <si>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</si>
  <si>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</si>
  <si>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</si>
  <si>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</si>
  <si>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</si>
  <si>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</si>
  <si>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</si>
  <si>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</si>
  <si>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</si>
  <si>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</si>
  <si>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</si>
  <si>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</si>
  <si>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</si>
  <si>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</si>
  <si>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</si>
  <si>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</si>
  <si>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</si>
  <si>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</si>
  <si>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</si>
  <si>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</si>
  <si>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</si>
  <si>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</si>
  <si>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</si>
  <si>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</si>
  <si>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</si>
  <si>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</si>
  <si>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</si>
  <si>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</si>
  <si>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</si>
  <si>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</si>
  <si>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</si>
  <si>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</si>
  <si>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</si>
  <si>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</si>
  <si>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</si>
  <si>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</si>
  <si>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</si>
  <si>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</si>
  <si>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</si>
  <si>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</si>
  <si>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</si>
  <si>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</si>
  <si>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</si>
  <si>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</si>
  <si>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</si>
  <si>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</si>
  <si>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</si>
  <si>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</si>
  <si>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</si>
  <si>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</si>
  <si>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</si>
  <si>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</si>
  <si>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</si>
  <si>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</si>
  <si>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</si>
  <si>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</si>
  <si>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</si>
  <si>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</si>
  <si>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</si>
  <si>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</si>
  <si>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</si>
  <si>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</si>
  <si>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</si>
  <si>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</si>
  <si>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</si>
  <si>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</si>
  <si>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</si>
  <si>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</si>
  <si>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</si>
  <si>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</si>
  <si>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</si>
  <si>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</si>
  <si>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</si>
  <si>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</si>
  <si>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</si>
  <si>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</si>
  <si>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</si>
  <si>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</si>
  <si>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</si>
  <si>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</si>
  <si>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</si>
  <si>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</si>
  <si>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</si>
  <si>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</si>
  <si>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</si>
  <si>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</si>
  <si>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</si>
  <si>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</si>
  <si>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</si>
  <si>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</si>
  <si>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</si>
  <si>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</si>
  <si>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</si>
  <si>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</si>
  <si>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</si>
  <si>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</si>
  <si>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</si>
  <si>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</si>
  <si>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</si>
  <si>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</si>
  <si>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</si>
  <si>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</si>
  <si>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</si>
  <si>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</si>
  <si>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</si>
  <si>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</si>
  <si>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</si>
  <si>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</si>
  <si>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</si>
  <si>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</si>
  <si>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</si>
  <si>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</si>
  <si>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</si>
  <si>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</si>
  <si>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</si>
  <si>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</si>
  <si>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</si>
  <si>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</si>
  <si>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</si>
  <si>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</si>
  <si>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</si>
  <si>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</si>
  <si>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</si>
  <si>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</si>
  <si>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</si>
  <si>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</si>
  <si>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</si>
  <si>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</si>
  <si>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</si>
  <si>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</si>
  <si>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</si>
  <si>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</si>
  <si>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</si>
  <si>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</si>
  <si>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</si>
  <si>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</si>
  <si>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</si>
  <si>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</si>
  <si>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</si>
  <si>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</si>
  <si>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</si>
  <si>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</si>
  <si>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</si>
  <si>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</si>
  <si>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</si>
  <si>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</si>
  <si>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</si>
  <si>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</si>
  <si>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</si>
  <si>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</si>
  <si>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</si>
  <si>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</si>
  <si>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</si>
  <si>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</si>
  <si>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</si>
  <si>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</si>
  <si>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</si>
  <si>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</si>
  <si>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</si>
  <si>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</si>
  <si>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</si>
  <si>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</si>
  <si>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</si>
  <si>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</si>
  <si>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</si>
  <si>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</si>
  <si>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</si>
  <si>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</si>
  <si>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</si>
  <si>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</si>
  <si>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</si>
  <si>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</si>
  <si>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</si>
  <si>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</si>
  <si>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</si>
  <si>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</si>
  <si>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</si>
  <si>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</si>
  <si>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</si>
  <si>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</si>
  <si>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</si>
  <si>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</si>
  <si>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</si>
  <si>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</si>
  <si>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</si>
  <si>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</si>
  <si>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</si>
  <si>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</si>
  <si>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</si>
  <si>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</si>
  <si>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</si>
  <si>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</si>
  <si>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</si>
  <si>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</si>
  <si>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</si>
  <si>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</si>
  <si>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</si>
  <si>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</si>
  <si>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</si>
  <si>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</si>
  <si>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</si>
  <si>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</si>
  <si>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</si>
  <si>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</si>
  <si>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</si>
  <si>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</si>
  <si>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</si>
  <si>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</si>
  <si>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</si>
  <si>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</si>
  <si>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</si>
  <si>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</si>
  <si>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</si>
  <si>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</si>
  <si>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</si>
  <si>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</si>
  <si>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</si>
  <si>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</si>
  <si>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</si>
  <si>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</si>
  <si>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</si>
  <si>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</si>
  <si>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</si>
  <si>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</si>
  <si>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</si>
  <si>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</si>
  <si>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</si>
  <si>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</si>
  <si>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</si>
  <si>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</si>
  <si>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</si>
  <si>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</si>
  <si>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</si>
  <si>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</si>
  <si>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</si>
  <si>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</si>
  <si>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</si>
  <si>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</si>
  <si>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</si>
  <si>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</si>
  <si>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</si>
  <si>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</si>
  <si>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</si>
  <si>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</si>
  <si>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</si>
  <si>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</si>
  <si>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</si>
  <si>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</si>
  <si>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</si>
  <si>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</si>
  <si>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</si>
  <si>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</si>
  <si>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</si>
  <si>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</si>
  <si>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</si>
  <si>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</si>
  <si>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</si>
  <si>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</si>
  <si>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</si>
  <si>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</si>
  <si>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</si>
  <si>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</si>
  <si>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</si>
  <si>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</si>
  <si>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</si>
  <si>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</si>
  <si>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</si>
  <si>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</si>
  <si>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</si>
  <si>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</si>
  <si>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</si>
  <si>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</si>
  <si>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</si>
  <si>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</si>
  <si>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</si>
  <si>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</si>
  <si>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</si>
  <si>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</si>
  <si>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</si>
  <si>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</si>
  <si>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</si>
  <si>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</si>
  <si>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</si>
  <si>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</si>
  <si>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</si>
  <si>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</si>
  <si>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</si>
  <si>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</si>
  <si>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</si>
  <si>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</si>
  <si>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</si>
  <si>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</si>
  <si>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</si>
  <si>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</si>
  <si>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</si>
  <si>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</si>
  <si>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</si>
  <si>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</si>
  <si>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</si>
  <si>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</si>
  <si>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</si>
  <si>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</si>
  <si>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</si>
  <si>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</si>
  <si>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</si>
  <si>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</si>
  <si>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</si>
  <si>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</si>
  <si>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</si>
  <si>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</si>
  <si>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</si>
  <si>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</si>
  <si>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</si>
  <si>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</si>
  <si>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</si>
  <si>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</si>
  <si>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</si>
  <si>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</si>
  <si>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</si>
  <si>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</si>
  <si>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</si>
  <si>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</si>
  <si>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</si>
  <si>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</si>
  <si>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</si>
  <si>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</si>
  <si>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</si>
  <si>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</si>
  <si>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</si>
  <si>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</si>
  <si>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</si>
  <si>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</si>
  <si>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</si>
  <si>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</si>
  <si>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</si>
  <si>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</si>
  <si>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</si>
  <si>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</si>
  <si>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</si>
  <si>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</si>
  <si>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</si>
  <si>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</si>
  <si>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</si>
  <si>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</si>
  <si>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</si>
  <si>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</si>
  <si>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</si>
  <si>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</si>
  <si>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</si>
  <si>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</si>
  <si>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</si>
  <si>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</si>
  <si>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</si>
  <si>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</si>
  <si>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</si>
  <si>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</si>
  <si>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</si>
  <si>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</si>
  <si>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</si>
  <si>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</si>
  <si>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</si>
  <si>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</si>
  <si>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</si>
  <si>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</si>
  <si>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</si>
  <si>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</si>
  <si>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</si>
  <si>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</si>
  <si>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</si>
  <si>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</si>
  <si>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</si>
  <si>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</si>
  <si>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</si>
  <si>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</si>
  <si>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</si>
  <si>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</si>
  <si>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</si>
  <si>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</si>
  <si>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</si>
  <si>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</si>
  <si>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</si>
  <si>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</si>
  <si>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</si>
  <si>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</si>
  <si>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</si>
  <si>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</si>
  <si>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</si>
  <si>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</si>
  <si>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</si>
  <si>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</si>
  <si>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</si>
  <si>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</si>
  <si>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</si>
  <si>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</si>
  <si>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</si>
  <si>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</si>
  <si>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</si>
  <si>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</si>
  <si>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</si>
  <si>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</si>
  <si>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</si>
  <si>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</si>
  <si>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</si>
  <si>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</si>
  <si>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</si>
  <si>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</si>
  <si>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</si>
  <si>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</si>
  <si>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</si>
  <si>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</si>
  <si>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</si>
  <si>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</si>
  <si>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</si>
  <si>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</si>
  <si>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</si>
  <si>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</si>
  <si>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</si>
  <si>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</si>
  <si>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</si>
  <si>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</si>
  <si>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</si>
  <si>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</si>
  <si>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</si>
  <si>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</si>
  <si>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</si>
  <si>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</si>
  <si>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</si>
  <si>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</si>
  <si>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</si>
  <si>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</si>
  <si>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</si>
  <si>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</si>
  <si>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</si>
  <si>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</si>
  <si>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</si>
  <si>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</si>
  <si>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</si>
  <si>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</si>
  <si>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</si>
  <si>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</si>
  <si>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</si>
  <si>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</si>
  <si>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</si>
  <si>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</si>
  <si>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</si>
  <si>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</si>
  <si>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</si>
  <si>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</si>
  <si>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</si>
  <si>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</si>
  <si>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</si>
  <si>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</si>
  <si>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</si>
  <si>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</si>
  <si>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</si>
  <si>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</si>
  <si>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</si>
  <si>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</si>
  <si>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</si>
  <si>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</si>
  <si>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</si>
  <si>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</si>
  <si>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</si>
  <si>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</si>
  <si>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</si>
  <si>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</si>
  <si>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</si>
  <si>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</si>
  <si>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</si>
  <si>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</si>
  <si>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</si>
  <si>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</si>
  <si>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</si>
  <si>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</si>
  <si>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</si>
  <si>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</si>
  <si>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</si>
  <si>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</si>
  <si>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</si>
  <si>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</si>
  <si>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</si>
  <si>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</si>
  <si>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</si>
  <si>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</si>
  <si>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</si>
  <si>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</si>
  <si>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</si>
  <si>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</si>
  <si>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</si>
  <si>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</si>
  <si>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</si>
  <si>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</si>
  <si>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</si>
  <si>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</si>
  <si>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</si>
  <si>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</si>
  <si>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</si>
  <si>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</si>
  <si>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</si>
  <si>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</si>
  <si>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</si>
  <si>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</si>
  <si>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</si>
  <si>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</si>
  <si>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</si>
  <si>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</si>
  <si>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</si>
  <si>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</si>
  <si>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</si>
  <si>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</si>
  <si>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</si>
  <si>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</si>
  <si>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</si>
  <si>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</si>
  <si>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</si>
  <si>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</si>
  <si>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</si>
  <si>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</si>
  <si>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</si>
  <si>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</si>
  <si>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</si>
  <si>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</si>
  <si>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</si>
  <si>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</si>
  <si>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</si>
  <si>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</si>
  <si>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</si>
  <si>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</si>
  <si>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</si>
  <si>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</si>
  <si>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</si>
  <si>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</si>
  <si>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</si>
  <si>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</si>
  <si>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</si>
  <si>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</si>
  <si>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</si>
  <si>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</si>
  <si>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</si>
  <si>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</si>
  <si>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</si>
  <si>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</si>
  <si>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</si>
  <si>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</si>
  <si>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</si>
  <si>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</si>
  <si>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</si>
  <si>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</si>
  <si>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</si>
  <si>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</si>
  <si>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</si>
  <si>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</si>
  <si>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</si>
  <si>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</si>
  <si>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</si>
  <si>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</si>
  <si>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</si>
  <si>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</si>
  <si>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</si>
  <si>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</si>
  <si>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</si>
  <si>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</si>
  <si>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</si>
  <si>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</si>
  <si>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</si>
  <si>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</si>
  <si>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</si>
  <si>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</si>
  <si>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</si>
  <si>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</si>
  <si>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</si>
  <si>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</si>
  <si>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</si>
  <si>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</si>
  <si>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</si>
  <si>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</si>
  <si>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</si>
  <si>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</si>
  <si>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</si>
  <si>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</si>
  <si>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</si>
  <si>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</si>
  <si>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</si>
  <si>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</si>
  <si>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</si>
  <si>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</si>
  <si>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</si>
  <si>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</si>
  <si>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</si>
  <si>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</si>
  <si>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</si>
  <si>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</si>
  <si>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</si>
  <si>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</si>
  <si>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</si>
  <si>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</si>
  <si>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</si>
  <si>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</si>
  <si>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</si>
  <si>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</si>
  <si>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</si>
  <si>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</si>
  <si>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</si>
  <si>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</si>
  <si>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</si>
  <si>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</si>
  <si>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</si>
  <si>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</si>
  <si>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</si>
  <si>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</si>
  <si>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</si>
  <si>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</si>
  <si>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</si>
  <si>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</si>
  <si>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</si>
  <si>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</si>
  <si>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</si>
  <si>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</si>
  <si>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</si>
  <si>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</si>
  <si>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</si>
  <si>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</si>
  <si>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</si>
  <si>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</si>
  <si>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</si>
  <si>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</si>
  <si>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</si>
  <si>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</si>
  <si>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</si>
  <si>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</si>
  <si>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</si>
  <si>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</si>
  <si>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</si>
  <si>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</si>
  <si>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</si>
  <si>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</si>
  <si>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</si>
  <si>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</si>
  <si>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</si>
  <si>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</si>
  <si>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</si>
  <si>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</si>
  <si>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</si>
  <si>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</si>
  <si>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</si>
  <si>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</si>
  <si>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</si>
  <si>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</si>
  <si>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</si>
  <si>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</si>
  <si>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</si>
  <si>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</si>
  <si>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</si>
  <si>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</si>
  <si>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</si>
  <si>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</si>
  <si>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</si>
  <si>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</si>
  <si>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</si>
  <si>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</si>
  <si>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</si>
  <si>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</si>
  <si>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</si>
  <si>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</si>
  <si>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</si>
  <si>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</si>
  <si>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</si>
  <si>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</si>
  <si>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</si>
  <si>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</si>
  <si>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</si>
  <si>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</si>
  <si>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</si>
  <si>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</si>
  <si>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</si>
  <si>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</si>
  <si>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</si>
  <si>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</si>
  <si>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</si>
  <si>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</si>
  <si>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</si>
  <si>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</si>
  <si>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</si>
  <si>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</si>
  <si>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</si>
  <si>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</si>
  <si>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</si>
  <si>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</si>
  <si>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</si>
  <si>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</si>
  <si>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</si>
  <si>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</si>
  <si>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</si>
  <si>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</si>
  <si>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</si>
  <si>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</si>
  <si>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</si>
  <si>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</si>
  <si>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</si>
  <si>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</si>
  <si>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</si>
  <si>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</si>
  <si>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</si>
  <si>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</si>
  <si>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</si>
  <si>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</si>
  <si>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</si>
  <si>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</si>
  <si>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</si>
  <si>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</si>
  <si>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</si>
  <si>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</si>
  <si>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</si>
  <si>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</si>
  <si>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</si>
  <si>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</si>
  <si>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</si>
  <si>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</si>
  <si>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</si>
  <si>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</si>
  <si>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</si>
  <si>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</si>
  <si>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</si>
  <si>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</si>
  <si>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</si>
  <si>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</si>
  <si>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</si>
  <si>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</si>
  <si>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</si>
  <si>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</si>
  <si>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</si>
  <si>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</si>
  <si>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</si>
  <si>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</si>
  <si>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</si>
  <si>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</si>
  <si>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</si>
  <si>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</si>
  <si>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</si>
  <si>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</si>
  <si>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</si>
  <si>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</si>
  <si>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</si>
  <si>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</si>
  <si>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</si>
  <si>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</si>
  <si>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</si>
  <si>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</si>
  <si>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</si>
  <si>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</si>
  <si>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</si>
  <si>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</si>
  <si>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</si>
  <si>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</si>
  <si>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</si>
  <si>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</si>
  <si>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</si>
  <si>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</si>
  <si>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</si>
  <si>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</si>
  <si>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</si>
  <si>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</si>
  <si>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</si>
  <si>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</si>
  <si>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</si>
  <si>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</si>
  <si>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</si>
  <si>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</si>
  <si>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</si>
  <si>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</si>
  <si>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</si>
  <si>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</si>
  <si>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</si>
  <si>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</si>
  <si>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</si>
  <si>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</si>
  <si>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</si>
  <si>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</si>
  <si>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</si>
  <si>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</si>
  <si>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</si>
  <si>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</si>
  <si>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</si>
  <si>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</si>
  <si>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</si>
  <si>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</si>
  <si>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</si>
  <si>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</si>
  <si>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</si>
  <si>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</si>
  <si>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</si>
  <si>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</si>
  <si>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</si>
  <si>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</si>
  <si>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</si>
  <si>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</si>
  <si>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</si>
  <si>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</si>
  <si>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</si>
  <si>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</si>
  <si>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</si>
  <si>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</si>
  <si>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</si>
  <si>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</si>
  <si>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</si>
  <si>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</si>
  <si>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</si>
  <si>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</si>
  <si>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</si>
  <si>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</si>
  <si>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</si>
  <si>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</si>
  <si>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</si>
  <si>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</si>
  <si>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</si>
  <si>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</si>
  <si>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</si>
  <si>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</si>
  <si>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</si>
  <si>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</si>
  <si>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</si>
  <si>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</si>
  <si>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</si>
  <si>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</si>
  <si>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</si>
  <si>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</si>
  <si>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</si>
  <si>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</si>
  <si>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</si>
  <si>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</si>
  <si>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</si>
  <si>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</si>
  <si>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</si>
  <si>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</si>
  <si>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</si>
  <si>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</si>
  <si>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</si>
  <si>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</si>
  <si>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</si>
  <si>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</si>
  <si>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</si>
  <si>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</si>
  <si>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</si>
  <si>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</si>
  <si>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</si>
  <si>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</si>
  <si>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</si>
  <si>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</si>
  <si>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</si>
  <si>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</si>
  <si>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</si>
  <si>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</si>
  <si>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</si>
  <si>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</si>
  <si>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</si>
  <si>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</si>
  <si>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</si>
  <si>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</si>
  <si>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</si>
  <si>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</si>
  <si>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</si>
  <si>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</si>
  <si>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</si>
  <si>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</si>
  <si>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</si>
  <si>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</si>
  <si>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</si>
  <si>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</si>
  <si>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</si>
  <si>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</si>
  <si>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</si>
  <si>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</si>
  <si>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</si>
  <si>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</si>
  <si>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</si>
  <si>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</si>
  <si>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</si>
  <si>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</si>
  <si>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</si>
  <si>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</si>
  <si>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</si>
  <si>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</si>
  <si>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</si>
  <si>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</si>
  <si>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</si>
  <si>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</si>
  <si>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</si>
  <si>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</si>
  <si>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</si>
  <si>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</si>
  <si>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</si>
  <si>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</si>
  <si>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</si>
  <si>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</si>
  <si>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</si>
  <si>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</si>
  <si>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</si>
  <si>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</si>
  <si>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</si>
  <si>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</si>
  <si>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</si>
  <si>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</si>
  <si>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</si>
  <si>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</si>
  <si>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</si>
  <si>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</si>
  <si>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</si>
  <si>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</si>
  <si>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</si>
  <si>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</si>
  <si>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</si>
  <si>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</si>
  <si>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</si>
  <si>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</si>
  <si>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</si>
  <si>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</si>
  <si>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</si>
  <si>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</si>
  <si>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</si>
  <si>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</si>
  <si>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</si>
  <si>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</si>
  <si>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</si>
  <si>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</si>
  <si>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</si>
  <si>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</si>
  <si>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</si>
  <si>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</si>
  <si>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</si>
  <si>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</si>
  <si>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</si>
  <si>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</si>
  <si>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</si>
  <si>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</si>
  <si>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</si>
  <si>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</si>
  <si>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</si>
  <si>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</si>
  <si>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</si>
  <si>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</si>
  <si>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</si>
  <si>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</si>
  <si>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</si>
  <si>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</si>
  <si>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</si>
  <si>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</si>
  <si>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</si>
  <si>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</si>
  <si>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</si>
  <si>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</si>
  <si>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</si>
  <si>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</si>
  <si>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</si>
  <si>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</si>
  <si>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</si>
  <si>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</si>
  <si>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</si>
  <si>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</si>
  <si>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</si>
  <si>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</si>
  <si>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</si>
  <si>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</si>
  <si>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</si>
  <si>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</si>
  <si>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</si>
  <si>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</si>
  <si>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</si>
  <si>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</si>
  <si>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</si>
  <si>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</si>
  <si>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</si>
  <si>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</si>
  <si>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</si>
  <si>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</si>
  <si>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</si>
  <si>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</si>
  <si>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</si>
  <si>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</si>
  <si>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</si>
  <si>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</si>
  <si>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</si>
  <si>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</si>
  <si>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</si>
  <si>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</si>
  <si>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</si>
  <si>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</si>
  <si>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</si>
  <si>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</si>
  <si>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</si>
  <si>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</si>
  <si>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</si>
  <si>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</si>
  <si>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</si>
  <si>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</si>
  <si>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</si>
  <si>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</si>
  <si>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</si>
  <si>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</si>
  <si>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</si>
  <si>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</si>
  <si>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</si>
  <si>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</si>
  <si>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</si>
  <si>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</si>
  <si>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</si>
  <si>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</si>
  <si>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</si>
  <si>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</si>
  <si>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</si>
  <si>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</si>
  <si>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</si>
  <si>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</si>
  <si>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</si>
  <si>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</si>
  <si>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</si>
  <si>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</si>
  <si>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</si>
  <si>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</si>
  <si>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</si>
  <si>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</si>
  <si>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</si>
  <si>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</si>
  <si>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</si>
  <si>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</si>
  <si>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</si>
  <si>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</si>
  <si>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</si>
  <si>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</si>
  <si>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</si>
  <si>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</si>
  <si>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</si>
  <si>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</si>
  <si>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</si>
  <si>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</si>
  <si>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</si>
  <si>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</si>
  <si>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</si>
  <si>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</si>
  <si>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</si>
  <si>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</si>
  <si>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</si>
  <si>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</si>
  <si>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</si>
  <si>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</si>
  <si>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</si>
  <si>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</si>
  <si>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</si>
  <si>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</si>
  <si>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</si>
  <si>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</si>
  <si>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</si>
  <si>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</si>
  <si>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</si>
  <si>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</si>
  <si>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</si>
  <si>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</si>
  <si>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</si>
  <si>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</si>
  <si>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</si>
  <si>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</si>
  <si>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</si>
  <si>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</si>
  <si>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</si>
  <si>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</si>
  <si>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</si>
  <si>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</si>
  <si>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</si>
  <si>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</si>
  <si>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</si>
  <si>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</si>
  <si>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</si>
  <si>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</si>
  <si>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</si>
  <si>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</si>
  <si>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</si>
  <si>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</si>
  <si>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</si>
  <si>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</si>
  <si>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</si>
  <si>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</si>
  <si>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</si>
  <si>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</si>
  <si>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</si>
  <si>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</si>
  <si>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</si>
  <si>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</si>
  <si>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</si>
  <si>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</si>
  <si>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</si>
  <si>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</si>
  <si>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</si>
  <si>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</si>
  <si>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</si>
  <si>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</si>
  <si>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</si>
  <si>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</si>
  <si>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</si>
  <si>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</si>
  <si>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</si>
  <si>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</si>
  <si>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</si>
  <si>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</si>
  <si>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</si>
  <si>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</si>
  <si>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</si>
  <si>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</si>
  <si>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</si>
  <si>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</si>
  <si>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</si>
  <si>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</si>
  <si>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</si>
  <si>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</si>
  <si>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</si>
  <si>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</si>
  <si>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</si>
  <si>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</si>
  <si>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</si>
  <si>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</si>
  <si>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</si>
  <si>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</si>
  <si>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</si>
  <si>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</si>
  <si>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</si>
  <si>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</si>
  <si>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</si>
  <si>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</si>
  <si>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</si>
  <si>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</si>
  <si>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</si>
  <si>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</si>
  <si>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</si>
  <si>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</si>
  <si>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</si>
  <si>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</si>
  <si>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</si>
  <si>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</si>
  <si>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</si>
  <si>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</si>
  <si>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</si>
  <si>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</si>
  <si>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</si>
  <si>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</si>
  <si>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</si>
  <si>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</si>
  <si>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</si>
  <si>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</si>
  <si>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</si>
  <si>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</si>
  <si>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</si>
  <si>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</si>
  <si>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</si>
  <si>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</si>
  <si>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</si>
  <si>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</si>
  <si>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</si>
  <si>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</si>
  <si>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</si>
  <si>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</si>
  <si>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</si>
  <si>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</si>
  <si>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</si>
  <si>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</si>
  <si>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</si>
  <si>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</si>
  <si>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</si>
  <si>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</si>
  <si>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</si>
  <si>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</si>
  <si>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</si>
  <si>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</si>
  <si>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</si>
  <si>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</si>
  <si>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</si>
  <si>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</si>
  <si>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</si>
  <si>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</si>
  <si>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</si>
  <si>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</si>
  <si>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</si>
  <si>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</si>
  <si>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</si>
  <si>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</si>
  <si>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</si>
  <si>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</si>
  <si>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</si>
  <si>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</si>
  <si>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</si>
  <si>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</si>
  <si>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</si>
  <si>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</si>
  <si>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</si>
  <si>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</si>
  <si>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</si>
  <si>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</si>
  <si>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</si>
  <si>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</si>
  <si>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</si>
  <si>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</si>
  <si>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</si>
  <si>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</si>
  <si>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</si>
  <si>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</si>
  <si>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</si>
  <si>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</si>
  <si>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</si>
  <si>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</si>
  <si>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</si>
  <si>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</si>
  <si>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</si>
  <si>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</si>
  <si>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</si>
  <si>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</si>
  <si>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</si>
  <si>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</si>
  <si>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</si>
  <si>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</si>
  <si>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</si>
  <si>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</si>
  <si>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</si>
  <si>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</si>
  <si>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</si>
  <si>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</si>
  <si>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</si>
  <si>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</si>
  <si>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</si>
  <si>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</si>
  <si>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</si>
  <si>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</si>
  <si>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</si>
  <si>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</si>
  <si>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</si>
  <si>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</si>
  <si>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</si>
  <si>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</si>
  <si>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</si>
  <si>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</si>
  <si>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</si>
  <si>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</si>
  <si>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</si>
  <si>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</si>
  <si>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</si>
  <si>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</si>
  <si>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</si>
  <si>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</si>
  <si>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</si>
  <si>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</si>
  <si>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</si>
  <si>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</si>
  <si>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</si>
  <si>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</si>
  <si>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</si>
  <si>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</si>
  <si>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</si>
  <si>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</si>
  <si>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</si>
  <si>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</si>
  <si>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</si>
  <si>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</si>
  <si>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</si>
  <si>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</si>
  <si>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</si>
  <si>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</si>
  <si>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</si>
  <si>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</si>
  <si>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</si>
  <si>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</si>
  <si>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</si>
  <si>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</si>
  <si>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</si>
  <si>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</si>
  <si>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</si>
  <si>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</si>
  <si>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</si>
  <si>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</si>
  <si>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</si>
  <si>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</si>
  <si>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</si>
  <si>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</si>
  <si>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</si>
  <si>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</si>
  <si>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</si>
  <si>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</si>
  <si>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</si>
  <si>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</si>
  <si>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</si>
  <si>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</si>
  <si>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</si>
  <si>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</si>
  <si>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</si>
  <si>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</si>
  <si>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</si>
  <si>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</si>
  <si>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</si>
  <si>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</si>
  <si>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</si>
  <si>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</si>
  <si>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</si>
  <si>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</si>
  <si>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</si>
  <si>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</si>
  <si>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</si>
  <si>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</si>
  <si>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</si>
  <si>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</si>
  <si>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</si>
  <si>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</si>
  <si>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</si>
  <si>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</si>
  <si>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</si>
  <si>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</si>
  <si>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</si>
  <si>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</si>
  <si>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</si>
  <si>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</si>
  <si>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</si>
  <si>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</si>
  <si>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</si>
  <si>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</si>
  <si>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</si>
  <si>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</si>
  <si>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</si>
  <si>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</si>
  <si>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</si>
  <si>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</si>
  <si>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</si>
  <si>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</si>
  <si>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</si>
  <si>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</si>
  <si>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</si>
  <si>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</si>
  <si>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</si>
  <si>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</si>
  <si>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</si>
  <si>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</si>
  <si>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</si>
  <si>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</si>
  <si>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</si>
  <si>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</si>
  <si>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</si>
  <si>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</si>
  <si>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</si>
  <si>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</si>
  <si>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</si>
  <si>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</si>
  <si>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</si>
  <si>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</si>
  <si>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</si>
  <si>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</si>
  <si>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</si>
  <si>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</si>
  <si>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</si>
  <si>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</si>
  <si>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</si>
  <si>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</si>
  <si>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</si>
  <si>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</si>
  <si>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</si>
  <si>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</si>
  <si>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</si>
  <si>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</si>
  <si>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</si>
  <si>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</si>
  <si>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</si>
  <si>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</si>
  <si>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</si>
  <si>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</si>
  <si>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</si>
  <si>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</si>
  <si>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</si>
  <si>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</si>
  <si>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</si>
  <si>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</si>
  <si>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</si>
  <si>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</si>
  <si>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</si>
  <si>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</si>
  <si>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</si>
  <si>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</si>
  <si>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</si>
  <si>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</si>
  <si>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</si>
  <si>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</si>
  <si>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</si>
  <si>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</si>
  <si>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</si>
  <si>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</si>
  <si>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</si>
  <si>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</si>
  <si>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</si>
  <si>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</si>
  <si>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</si>
  <si>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</si>
  <si>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</si>
  <si>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</si>
  <si>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</si>
  <si>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</si>
  <si>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</si>
  <si>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</si>
  <si>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</si>
  <si>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</si>
  <si>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</si>
  <si>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</si>
  <si>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</si>
  <si>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</si>
  <si>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</si>
  <si>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</si>
  <si>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</si>
  <si>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</si>
  <si>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</si>
  <si>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</si>
  <si>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</si>
  <si>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</si>
  <si>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</si>
  <si>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</si>
  <si>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</si>
  <si>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</si>
  <si>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</si>
  <si>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</si>
  <si>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</si>
  <si>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</si>
  <si>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</si>
  <si>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</si>
  <si>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</si>
  <si>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</si>
  <si>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</si>
  <si>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</si>
  <si>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</si>
  <si>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</si>
  <si>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</si>
  <si>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</si>
  <si>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</si>
  <si>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</si>
  <si>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</si>
  <si>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</si>
  <si>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</si>
  <si>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</si>
  <si>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</si>
  <si>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</si>
  <si>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</si>
  <si>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</si>
  <si>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</si>
  <si>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</si>
  <si>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</si>
  <si>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</si>
  <si>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</si>
  <si>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</si>
  <si>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</si>
  <si>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</si>
  <si>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</si>
  <si>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</si>
  <si>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</si>
  <si>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</si>
  <si>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</si>
  <si>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</si>
  <si>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</si>
  <si>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</si>
  <si>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</si>
  <si>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</si>
  <si>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</si>
  <si>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</si>
  <si>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</si>
  <si>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</si>
  <si>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</si>
  <si>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</si>
  <si>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</si>
  <si>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</si>
  <si>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</si>
  <si>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</si>
  <si>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</si>
  <si>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</si>
  <si>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</si>
  <si>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</si>
  <si>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</si>
  <si>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</si>
  <si>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</si>
  <si>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</si>
  <si>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</si>
  <si>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</si>
  <si>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</si>
  <si>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</si>
  <si>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</si>
  <si>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</si>
  <si>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</si>
  <si>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</si>
  <si>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</si>
  <si>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</si>
  <si>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</si>
  <si>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</si>
  <si>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</si>
  <si>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</si>
  <si>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</si>
  <si>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</si>
  <si>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</si>
  <si>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</si>
  <si>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</si>
  <si>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</si>
  <si>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</si>
  <si>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</si>
  <si>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</si>
  <si>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</si>
  <si>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</si>
  <si>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</si>
  <si>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</si>
  <si>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</si>
  <si>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</si>
  <si>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</si>
  <si>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</si>
  <si>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</si>
  <si>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</si>
  <si>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</si>
  <si>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</si>
  <si>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</si>
  <si>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</si>
  <si>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</si>
  <si>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</si>
  <si>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</si>
  <si>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</si>
  <si>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</si>
  <si>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</si>
  <si>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</si>
  <si>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</si>
  <si>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</si>
  <si>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</si>
  <si>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</si>
  <si>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</si>
  <si>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</si>
  <si>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</si>
  <si>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</si>
  <si>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</si>
  <si>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</si>
  <si>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</si>
  <si>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</si>
  <si>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</si>
  <si>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</si>
  <si>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</si>
  <si>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</si>
  <si>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</si>
  <si>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</si>
  <si>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</si>
  <si>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</si>
  <si>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</si>
  <si>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</si>
  <si>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</si>
  <si>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</si>
  <si>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</si>
  <si>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</si>
  <si>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</si>
  <si>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</si>
  <si>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</si>
  <si>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</si>
  <si>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</si>
  <si>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</si>
  <si>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</si>
  <si>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</si>
  <si>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</si>
  <si>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</si>
  <si>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</si>
  <si>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</si>
  <si>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</si>
  <si>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</si>
  <si>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</si>
  <si>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</si>
  <si>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</si>
  <si>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</si>
  <si>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</si>
  <si>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</si>
  <si>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</si>
  <si>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</si>
  <si>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</si>
  <si>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</si>
  <si>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</si>
  <si>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</si>
  <si>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</si>
  <si>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</si>
  <si>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</si>
  <si>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</si>
  <si>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</si>
  <si>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</si>
  <si>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</si>
  <si>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</si>
  <si>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</si>
  <si>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</si>
  <si>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</si>
  <si>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</si>
  <si>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</si>
  <si>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</si>
  <si>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</si>
  <si>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</si>
  <si>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</si>
  <si>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</si>
  <si>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</si>
  <si>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</si>
  <si>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</si>
  <si>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</si>
  <si>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</si>
  <si>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</si>
  <si>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</si>
  <si>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</si>
  <si>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</si>
  <si>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</si>
  <si>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</si>
  <si>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</si>
  <si>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</si>
  <si>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</si>
  <si>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</si>
  <si>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</si>
  <si>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</si>
  <si>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</si>
  <si>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</si>
  <si>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</si>
  <si>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</si>
  <si>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</si>
  <si>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</si>
  <si>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</si>
  <si>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</si>
  <si>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</si>
  <si>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</si>
  <si>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</si>
  <si>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</si>
  <si>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</si>
  <si>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</si>
  <si>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</si>
  <si>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</si>
  <si>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</si>
  <si>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</si>
  <si>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</si>
  <si>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</si>
  <si>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</si>
  <si>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</si>
  <si>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</si>
  <si>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</si>
  <si>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</si>
  <si>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</si>
  <si>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</si>
  <si>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</si>
  <si>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</si>
  <si>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</si>
  <si>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</si>
  <si>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</si>
  <si>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</si>
  <si>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</si>
  <si>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</si>
  <si>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</si>
  <si>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</si>
  <si>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</si>
  <si>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</si>
  <si>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</si>
  <si>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</si>
  <si>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</si>
  <si>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</si>
  <si>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</si>
  <si>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</si>
  <si>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</si>
  <si>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</si>
  <si>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</si>
  <si>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</si>
  <si>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</si>
  <si>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</si>
  <si>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</si>
  <si>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</si>
  <si>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</si>
  <si>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</si>
  <si>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</si>
  <si>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</si>
  <si>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</si>
  <si>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</si>
  <si>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</si>
  <si>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</si>
  <si>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</si>
  <si>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</si>
  <si>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</si>
  <si>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</si>
  <si>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</si>
  <si>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</si>
  <si>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</si>
  <si>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</si>
  <si>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</si>
  <si>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</si>
  <si>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</si>
  <si>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</si>
  <si>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</si>
  <si>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</si>
  <si>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</si>
  <si>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</si>
  <si>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</si>
  <si>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</si>
  <si>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</si>
  <si>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</si>
  <si>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</si>
  <si>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</si>
  <si>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</si>
  <si>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</si>
  <si>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</si>
  <si>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</si>
  <si>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</si>
  <si>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</si>
  <si>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</si>
  <si>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</si>
  <si>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</si>
  <si>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</si>
  <si>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</si>
  <si>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</si>
  <si>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</si>
  <si>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</si>
  <si>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</si>
  <si>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</si>
  <si>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</si>
  <si>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</si>
  <si>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</si>
  <si>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</si>
  <si>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</si>
  <si>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</si>
  <si>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</si>
  <si>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</si>
  <si>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</si>
  <si>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</si>
  <si>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</si>
  <si>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</si>
  <si>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</si>
  <si>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</si>
  <si>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</si>
  <si>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</si>
  <si>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</si>
  <si>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</si>
  <si>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</si>
  <si>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</si>
  <si>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</si>
  <si>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</si>
  <si>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</si>
  <si>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</si>
  <si>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</si>
  <si>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</si>
  <si>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</si>
  <si>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</si>
  <si>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</si>
  <si>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</si>
  <si>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</si>
  <si>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</si>
  <si>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</si>
  <si>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</si>
  <si>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</si>
  <si>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</si>
  <si>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</si>
  <si>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</si>
  <si>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</si>
  <si>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</si>
  <si>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</si>
  <si>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</si>
  <si>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</si>
  <si>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</si>
  <si>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</si>
  <si>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</si>
  <si>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</si>
  <si>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</si>
  <si>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</si>
  <si>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</si>
  <si>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</si>
  <si>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</si>
  <si>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</si>
  <si>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</si>
  <si>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</si>
  <si>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</si>
  <si>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</si>
  <si>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</si>
  <si>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</si>
  <si>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</si>
  <si>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</si>
  <si>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</si>
  <si>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</si>
  <si>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</si>
  <si>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</si>
  <si>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</si>
  <si>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</si>
  <si>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</si>
  <si>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</si>
  <si>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</si>
  <si>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</si>
  <si>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</si>
  <si>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</si>
  <si>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</si>
  <si>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</si>
  <si>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</si>
  <si>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</si>
  <si>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</si>
  <si>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</si>
  <si>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</si>
  <si>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</si>
  <si>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</si>
  <si>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</si>
  <si>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</si>
  <si>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</si>
  <si>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</si>
  <si>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</si>
  <si>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</si>
  <si>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</si>
  <si>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</si>
  <si>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</si>
  <si>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</si>
  <si>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</si>
  <si>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</si>
  <si>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</si>
  <si>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</si>
  <si>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</si>
  <si>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</si>
  <si>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</si>
  <si>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</si>
  <si>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</si>
  <si>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</si>
  <si>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</si>
  <si>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</si>
  <si>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</si>
  <si>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</si>
  <si>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</si>
  <si>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</si>
  <si>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</si>
  <si>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</si>
  <si>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</si>
  <si>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</si>
  <si>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</si>
  <si>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</si>
  <si>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</si>
  <si>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</si>
  <si>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</si>
  <si>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</si>
  <si>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</si>
  <si>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</si>
  <si>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</si>
  <si>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</si>
  <si>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</si>
  <si>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</si>
  <si>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</si>
  <si>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</si>
  <si>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</si>
  <si>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</si>
  <si>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</si>
  <si>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</si>
  <si>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</si>
  <si>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</si>
  <si>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</si>
  <si>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</si>
  <si>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</si>
  <si>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</si>
  <si>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</si>
  <si>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</si>
  <si>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</si>
  <si>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</si>
  <si>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</si>
  <si>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</si>
  <si>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</si>
  <si>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</si>
  <si>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</si>
  <si>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</si>
  <si>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</si>
  <si>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</si>
  <si>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</si>
  <si>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</si>
  <si>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</si>
  <si>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</si>
  <si>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</si>
  <si>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</si>
  <si>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</si>
  <si>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</si>
  <si>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</si>
  <si>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</si>
  <si>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</si>
  <si>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</si>
  <si>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</si>
  <si>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</si>
  <si>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</si>
  <si>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</si>
  <si>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</si>
  <si>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</si>
  <si>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</si>
  <si>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</si>
  <si>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</si>
  <si>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</si>
  <si>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</si>
  <si>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</si>
  <si>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</si>
  <si>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</si>
  <si>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</si>
  <si>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</si>
  <si>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</si>
  <si>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</si>
  <si>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</si>
  <si>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</si>
  <si>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</si>
  <si>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</si>
  <si>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</si>
  <si>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</si>
  <si>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</si>
  <si>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</si>
  <si>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</si>
  <si>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</si>
  <si>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</si>
  <si>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</si>
  <si>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</si>
  <si>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</si>
  <si>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</si>
  <si>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</si>
  <si>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</si>
  <si>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</si>
  <si>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</si>
  <si>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</si>
  <si>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</si>
  <si>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</si>
  <si>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</si>
  <si>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</si>
  <si>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</si>
  <si>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</si>
  <si>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</si>
  <si>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</si>
  <si>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</si>
  <si>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</si>
  <si>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</si>
  <si>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</si>
  <si>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</si>
  <si>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</si>
  <si>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</si>
  <si>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</si>
  <si>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</si>
  <si>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</si>
  <si>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</si>
  <si>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</si>
  <si>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</si>
  <si>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</si>
  <si>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</si>
  <si>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</si>
  <si>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</si>
  <si>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</si>
  <si>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</si>
  <si>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</si>
  <si>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</si>
  <si>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</si>
  <si>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</si>
  <si>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</si>
  <si>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</si>
  <si>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</si>
  <si>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</si>
  <si>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</si>
  <si>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</si>
  <si>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</si>
  <si>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</si>
  <si>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</si>
  <si>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</si>
  <si>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</si>
  <si>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</si>
  <si>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</si>
  <si>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</si>
  <si>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</si>
  <si>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</si>
  <si>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</si>
  <si>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</si>
  <si>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</si>
  <si>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</si>
  <si>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</si>
  <si>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</si>
  <si>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</si>
  <si>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</si>
  <si>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</si>
  <si>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</si>
  <si>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</si>
  <si>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</si>
  <si>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</si>
  <si>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</si>
  <si>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</si>
  <si>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</si>
  <si>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</si>
  <si>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</si>
  <si>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</si>
  <si>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</si>
  <si>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</si>
  <si>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</si>
  <si>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</si>
  <si>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</si>
  <si>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</si>
  <si>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</si>
  <si>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</si>
  <si>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</si>
  <si>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</si>
  <si>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</si>
  <si>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</si>
  <si>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</si>
  <si>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</si>
  <si>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</si>
  <si>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</si>
  <si>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</si>
  <si>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</si>
  <si>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</si>
  <si>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</si>
  <si>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</si>
  <si>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</si>
  <si>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</si>
  <si>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</si>
  <si>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</si>
  <si>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</si>
  <si>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</si>
  <si>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</si>
  <si>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</si>
  <si>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</si>
  <si>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</si>
  <si>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</si>
  <si>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</si>
  <si>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</si>
  <si>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</si>
  <si>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</si>
  <si>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</si>
  <si>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</si>
  <si>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</si>
  <si>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</si>
  <si>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</si>
  <si>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</si>
  <si>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</si>
  <si>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</si>
  <si>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</si>
  <si>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</si>
  <si>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</si>
  <si>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</si>
  <si>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</si>
  <si>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</si>
  <si>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</si>
  <si>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</si>
  <si>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</si>
  <si>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</si>
  <si>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</si>
  <si>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</si>
  <si>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</si>
  <si>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</si>
  <si>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</si>
  <si>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</si>
  <si>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</si>
  <si>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</si>
  <si>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</si>
  <si>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</si>
  <si>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</si>
  <si>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</si>
  <si>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</si>
  <si>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</si>
  <si>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</si>
  <si>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</si>
  <si>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</si>
  <si>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</si>
  <si>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</si>
  <si>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</si>
  <si>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</si>
  <si>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</si>
  <si>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</si>
  <si>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</si>
  <si>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</si>
  <si>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</si>
  <si>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</si>
  <si>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</si>
  <si>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</si>
  <si>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</si>
  <si>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</si>
  <si>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</si>
  <si>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</si>
  <si>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</si>
  <si>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</si>
  <si>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</si>
  <si>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</si>
  <si>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</si>
  <si>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</si>
  <si>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</si>
  <si>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</si>
  <si>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</si>
  <si>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</si>
  <si>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</si>
  <si>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</si>
  <si>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</si>
  <si>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</si>
  <si>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</si>
  <si>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</si>
  <si>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</si>
  <si>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</si>
  <si>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</si>
  <si>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</si>
  <si>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</si>
  <si>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</si>
  <si>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</si>
  <si>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</si>
  <si>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</si>
  <si>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</si>
  <si>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</si>
  <si>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</si>
  <si>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</si>
  <si>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</si>
  <si>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</si>
  <si>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</si>
  <si>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</si>
  <si>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</si>
  <si>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</si>
  <si>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</si>
  <si>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</si>
  <si>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</si>
  <si>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</si>
  <si>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</si>
  <si>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</si>
  <si>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</si>
  <si>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</si>
  <si>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</si>
  <si>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</si>
  <si>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</si>
  <si>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</si>
  <si>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</si>
  <si>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</si>
  <si>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</si>
  <si>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</si>
  <si>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</si>
  <si>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</si>
  <si>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</si>
  <si>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</si>
  <si>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</si>
  <si>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</si>
  <si>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</si>
  <si>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</si>
  <si>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</si>
  <si>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</si>
  <si>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</si>
  <si>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</si>
  <si>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</si>
  <si>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</si>
  <si>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</si>
  <si>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</si>
  <si>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</si>
  <si>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</si>
  <si>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</si>
  <si>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</si>
  <si>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</si>
  <si>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</si>
  <si>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</si>
  <si>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</si>
  <si>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</si>
  <si>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</si>
  <si>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</si>
  <si>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</si>
  <si>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</si>
  <si>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</si>
  <si>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</si>
  <si>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</si>
  <si>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</si>
  <si>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</si>
  <si>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</si>
  <si>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</si>
  <si>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</si>
  <si>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</si>
  <si>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</si>
  <si>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</si>
  <si>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</si>
  <si>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</si>
  <si>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</si>
  <si>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</si>
  <si>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</si>
  <si>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</si>
  <si>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</si>
  <si>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</si>
  <si>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</si>
  <si>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</si>
  <si>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</si>
  <si>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</si>
  <si>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</si>
  <si>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</si>
  <si>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</si>
  <si>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</si>
  <si>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</si>
  <si>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</si>
  <si>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</si>
  <si>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</si>
  <si>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</si>
  <si>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</si>
  <si>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</si>
  <si>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</si>
  <si>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</si>
  <si>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</si>
  <si>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</si>
  <si>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</si>
  <si>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</si>
  <si>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</si>
  <si>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</si>
  <si>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</si>
  <si>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</si>
  <si>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</si>
  <si>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</si>
  <si>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</si>
  <si>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</si>
  <si>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</si>
  <si>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</si>
  <si>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</si>
  <si>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</si>
  <si>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</si>
  <si>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</si>
  <si>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</si>
  <si>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</si>
  <si>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</si>
  <si>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</si>
  <si>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</si>
  <si>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</si>
  <si>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</si>
  <si>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</si>
  <si>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</si>
  <si>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</si>
  <si>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</si>
  <si>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</si>
  <si>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</si>
  <si>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</si>
  <si>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</si>
  <si>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</si>
  <si>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</si>
  <si>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</si>
  <si>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</si>
  <si>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</si>
  <si>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</si>
  <si>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</si>
  <si>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</si>
  <si>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</si>
  <si>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</si>
  <si>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</si>
  <si>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</si>
  <si>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</si>
  <si>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</si>
  <si>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</si>
  <si>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</si>
  <si>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</si>
  <si>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</si>
  <si>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</si>
  <si>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</si>
  <si>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</si>
  <si>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</si>
  <si>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</si>
  <si>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</si>
  <si>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</si>
  <si>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</si>
  <si>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</si>
  <si>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</si>
  <si>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</si>
  <si>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</si>
  <si>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</si>
  <si>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</si>
  <si>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</si>
  <si>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</si>
  <si>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</si>
  <si>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</si>
  <si>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</si>
  <si>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</si>
  <si>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</si>
  <si>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</si>
  <si>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</si>
  <si>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</si>
  <si>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</si>
  <si>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</si>
  <si>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</si>
  <si>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</si>
  <si>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</si>
  <si>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</si>
  <si>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</si>
  <si>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</si>
  <si>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</si>
  <si>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</si>
  <si>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</si>
  <si>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</si>
  <si>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</si>
  <si>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</si>
  <si>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</si>
  <si>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</si>
  <si>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</si>
  <si>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</si>
  <si>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</si>
  <si>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</si>
  <si>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</si>
  <si>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</si>
  <si>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</si>
  <si>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</si>
  <si>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</si>
  <si>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</si>
  <si>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</si>
  <si>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</si>
  <si>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</si>
  <si>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</si>
  <si>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</si>
  <si>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</si>
  <si>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</si>
  <si>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</si>
  <si>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</si>
  <si>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</si>
  <si>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</si>
  <si>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</si>
  <si>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</si>
  <si>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</si>
  <si>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</si>
  <si>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</si>
  <si>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</si>
  <si>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</si>
  <si>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</si>
  <si>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</si>
  <si>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</si>
  <si>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</si>
  <si>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</si>
  <si>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</si>
  <si>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</si>
  <si>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</si>
  <si>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</si>
  <si>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</si>
  <si>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</si>
  <si>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</si>
  <si>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</si>
  <si>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</si>
  <si>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</si>
  <si>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</si>
  <si>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</si>
  <si>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</si>
  <si>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</si>
  <si>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</si>
  <si>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</si>
  <si>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</si>
  <si>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</si>
  <si>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</si>
  <si>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</si>
  <si>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</si>
  <si>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</si>
  <si>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</si>
  <si>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</si>
  <si>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</si>
  <si>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</si>
  <si>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</si>
  <si>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</si>
  <si>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</si>
  <si>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</si>
  <si>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</si>
  <si>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</si>
  <si>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</si>
  <si>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</si>
  <si>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</si>
  <si>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</si>
  <si>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</si>
  <si>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</si>
  <si>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</si>
  <si>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</si>
  <si>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</si>
  <si>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</si>
  <si>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</si>
  <si>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</si>
  <si>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</si>
  <si>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</si>
  <si>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</si>
  <si>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</si>
  <si>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</si>
  <si>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</si>
  <si>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</si>
  <si>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</si>
  <si>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</si>
  <si>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</si>
  <si>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</si>
  <si>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</si>
  <si>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</si>
  <si>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</si>
  <si>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</si>
  <si>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</si>
  <si>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</si>
  <si>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</si>
  <si>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</si>
  <si>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</si>
  <si>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</si>
  <si>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</si>
  <si>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</si>
  <si>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</si>
  <si>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</si>
  <si>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</si>
  <si>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</si>
  <si>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</si>
  <si>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</si>
  <si>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</si>
  <si>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</si>
  <si>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</si>
  <si>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</si>
  <si>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</si>
  <si>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</si>
  <si>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</si>
  <si>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</si>
  <si>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</si>
  <si>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</si>
  <si>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</si>
  <si>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</si>
  <si>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</si>
  <si>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</si>
  <si>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</si>
  <si>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</si>
  <si>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</si>
  <si>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</si>
  <si>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</si>
  <si>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</si>
  <si>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</si>
  <si>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</si>
  <si>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</si>
  <si>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</si>
  <si>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</si>
  <si>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</si>
  <si>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</si>
  <si>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</si>
  <si>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</si>
  <si>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</si>
  <si>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</si>
  <si>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</si>
  <si>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</si>
  <si>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</si>
  <si>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</si>
  <si>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</si>
  <si>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</si>
  <si>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</si>
  <si>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</si>
  <si>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</si>
  <si>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</si>
  <si>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</si>
  <si>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</si>
  <si>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</si>
  <si>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</si>
  <si>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</si>
  <si>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</si>
  <si>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</si>
  <si>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</si>
  <si>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</si>
  <si>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</si>
  <si>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</si>
  <si>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</si>
  <si>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</si>
  <si>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</si>
  <si>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</si>
  <si>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</si>
  <si>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</si>
  <si>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</si>
  <si>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</si>
  <si>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</si>
  <si>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</si>
  <si>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</si>
  <si>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</si>
  <si>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</si>
  <si>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</si>
  <si>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</si>
  <si>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</si>
  <si>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</si>
  <si>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</si>
  <si>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</si>
  <si>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</si>
  <si>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</si>
  <si>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</si>
  <si>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</si>
  <si>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</si>
  <si>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</si>
  <si>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</si>
  <si>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</si>
  <si>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</si>
  <si>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</si>
  <si>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</si>
  <si>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</si>
  <si>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</si>
  <si>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</si>
  <si>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</si>
  <si>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</si>
  <si>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</si>
  <si>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</si>
  <si>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</si>
  <si>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</si>
  <si>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</si>
  <si>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</si>
  <si>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</si>
  <si>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</si>
  <si>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</si>
  <si>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</si>
  <si>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</si>
  <si>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</si>
  <si>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</si>
  <si>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</si>
  <si>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</si>
  <si>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</si>
  <si>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</si>
  <si>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</si>
  <si>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</si>
  <si>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</si>
  <si>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</si>
  <si>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</si>
  <si>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</si>
  <si>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</si>
  <si>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</si>
  <si>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</si>
  <si>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</si>
  <si>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</si>
  <si>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</si>
  <si>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</si>
  <si>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</si>
  <si>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</si>
  <si>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</si>
  <si>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</si>
  <si>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</si>
  <si>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</si>
  <si>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</si>
  <si>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</si>
  <si>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</si>
  <si>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</si>
  <si>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</si>
  <si>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</si>
  <si>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</si>
  <si>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</si>
  <si>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</si>
  <si>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</si>
  <si>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</si>
  <si>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</si>
  <si>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</si>
  <si>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</si>
  <si>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</si>
  <si>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</si>
  <si>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</si>
  <si>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</si>
  <si>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</si>
  <si>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</si>
  <si>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</si>
  <si>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</si>
  <si>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</si>
  <si>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</si>
  <si>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</si>
  <si>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</si>
  <si>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</si>
  <si>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</si>
  <si>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</si>
  <si>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</si>
  <si>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</si>
  <si>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</si>
  <si>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</si>
  <si>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</si>
  <si>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</si>
  <si>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</si>
  <si>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</si>
  <si>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</si>
  <si>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</si>
  <si>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</si>
  <si>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</si>
  <si>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</si>
  <si>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</si>
  <si>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</si>
  <si>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</si>
  <si>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</si>
  <si>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</si>
  <si>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</si>
  <si>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</si>
  <si>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</si>
  <si>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</si>
  <si>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</si>
  <si>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</si>
  <si>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</si>
  <si>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</si>
  <si>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</si>
  <si>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</si>
  <si>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</si>
  <si>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</si>
  <si>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</si>
  <si>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</si>
  <si>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</si>
  <si>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</si>
  <si>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</si>
  <si>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</si>
  <si>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</si>
  <si>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</si>
  <si>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</si>
  <si>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</si>
  <si>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</si>
  <si>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</si>
  <si>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</si>
  <si>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</si>
  <si>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</si>
  <si>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</si>
  <si>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</si>
  <si>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</si>
  <si>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</si>
  <si>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</si>
  <si>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</si>
  <si>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</si>
  <si>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</si>
  <si>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</si>
  <si>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</si>
  <si>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</si>
  <si>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</si>
  <si>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</si>
  <si>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</si>
  <si>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</si>
  <si>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</si>
  <si>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</si>
  <si>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</si>
  <si>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</si>
  <si>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</si>
  <si>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</si>
  <si>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</si>
  <si>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</si>
  <si>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</si>
  <si>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</si>
  <si>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</si>
  <si>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</si>
  <si>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</si>
  <si>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</si>
  <si>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</si>
  <si>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</si>
  <si>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</si>
  <si>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</si>
  <si>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</si>
  <si>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</si>
  <si>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</si>
  <si>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</si>
  <si>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</si>
  <si>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</si>
  <si>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</si>
  <si>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</si>
  <si>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</si>
  <si>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</si>
  <si>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</si>
  <si>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</si>
  <si>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</si>
  <si>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</si>
  <si>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</si>
  <si>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</si>
  <si>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</si>
  <si>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</si>
  <si>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</si>
  <si>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</si>
  <si>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</si>
  <si>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</si>
  <si>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</si>
  <si>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</si>
  <si>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</si>
  <si>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</si>
  <si>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</si>
  <si>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</si>
  <si>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</si>
  <si>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</si>
  <si>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</si>
  <si>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</si>
  <si>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</si>
  <si>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</si>
  <si>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</si>
  <si>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</si>
  <si>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</si>
  <si>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</si>
  <si>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</si>
  <si>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</si>
  <si>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</si>
  <si>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</si>
  <si>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</si>
  <si>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</si>
  <si>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</si>
  <si>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</si>
  <si>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</si>
  <si>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</si>
  <si>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</si>
  <si>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</si>
  <si>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</si>
  <si>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</si>
  <si>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</si>
  <si>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</si>
  <si>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</si>
  <si>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</si>
  <si>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</si>
  <si>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</si>
  <si>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</si>
  <si>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</si>
  <si>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</si>
  <si>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</si>
  <si>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</si>
  <si>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</si>
  <si>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</si>
  <si>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</si>
  <si>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</si>
  <si>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</si>
  <si>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</si>
  <si>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</si>
  <si>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</si>
  <si>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</si>
  <si>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</si>
  <si>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</si>
  <si>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</si>
  <si>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</si>
  <si>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</si>
  <si>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</si>
  <si>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</si>
  <si>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</si>
  <si>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</si>
  <si>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</si>
  <si>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</si>
  <si>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</si>
  <si>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</si>
  <si>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</si>
  <si>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</si>
  <si>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</si>
  <si>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</si>
  <si>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</si>
  <si>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</si>
  <si>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</si>
  <si>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</si>
  <si>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</si>
  <si>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</si>
  <si>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</si>
  <si>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</si>
  <si>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</si>
  <si>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</si>
  <si>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</si>
  <si>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</si>
  <si>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</si>
  <si>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</si>
  <si>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</si>
  <si>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</si>
  <si>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</si>
  <si>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</si>
  <si>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</si>
  <si>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</si>
  <si>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</si>
  <si>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</si>
  <si>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</si>
  <si>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</si>
  <si>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</si>
  <si>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</si>
  <si>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</si>
  <si>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</si>
  <si>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</si>
  <si>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</si>
  <si>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</si>
  <si>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</si>
  <si>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</si>
  <si>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</si>
  <si>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</si>
  <si>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</si>
  <si>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</si>
  <si>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</si>
  <si>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</si>
  <si>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</si>
  <si>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</si>
  <si>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</si>
  <si>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</si>
  <si>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</si>
  <si>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</si>
  <si>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</si>
  <si>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</si>
  <si>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</si>
  <si>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</si>
  <si>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</si>
  <si>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</si>
  <si>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</si>
  <si>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</si>
  <si>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</si>
  <si>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</si>
  <si>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</si>
  <si>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</si>
  <si>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</si>
  <si>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</si>
  <si>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</si>
  <si>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</si>
  <si>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</si>
  <si>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</si>
  <si>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</si>
  <si>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</si>
  <si>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</si>
  <si>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</si>
  <si>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</si>
  <si>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</si>
  <si>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</si>
  <si>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</si>
  <si>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</si>
  <si>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</si>
  <si>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</si>
  <si>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</si>
  <si>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</si>
  <si>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</si>
  <si>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</si>
  <si>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</si>
  <si>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</si>
  <si>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</si>
  <si>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</si>
  <si>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</si>
  <si>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</si>
  <si>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</si>
  <si>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</si>
  <si>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</si>
  <si>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</si>
  <si>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</si>
  <si>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</si>
  <si>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</si>
  <si>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</si>
  <si>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</si>
  <si>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</si>
  <si>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</si>
  <si>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</si>
  <si>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</si>
  <si>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</si>
  <si>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</si>
  <si>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</si>
  <si>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</si>
  <si>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</si>
  <si>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</si>
  <si>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</si>
  <si>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</si>
  <si>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</si>
  <si>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</si>
  <si>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</si>
  <si>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</si>
  <si>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</si>
  <si>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</si>
  <si>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</si>
  <si>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</si>
  <si>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</si>
  <si>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</si>
  <si>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</si>
  <si>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</si>
  <si>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</si>
  <si>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</si>
  <si>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</si>
  <si>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</si>
  <si>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</si>
  <si>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</si>
  <si>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</si>
  <si>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</si>
  <si>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</si>
  <si>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</si>
  <si>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</si>
  <si>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</si>
  <si>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</si>
  <si>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</si>
  <si>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</si>
  <si>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</si>
  <si>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</si>
  <si>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</si>
  <si>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</si>
  <si>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</si>
  <si>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</si>
  <si>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</si>
  <si>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</si>
  <si>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</si>
  <si>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</si>
  <si>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</si>
  <si>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</si>
  <si>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</si>
  <si>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</si>
  <si>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</si>
  <si>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</si>
  <si>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</si>
  <si>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</si>
  <si>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</si>
  <si>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</si>
  <si>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</si>
  <si>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</si>
  <si>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</si>
  <si>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</si>
  <si>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</si>
  <si>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</si>
  <si>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</si>
  <si>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</si>
  <si>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</si>
  <si>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</si>
  <si>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</si>
  <si>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</si>
  <si>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</si>
  <si>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</si>
  <si>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</si>
  <si>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</si>
  <si>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</si>
  <si>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</si>
  <si>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</si>
  <si>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</si>
  <si>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</si>
  <si>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</si>
  <si>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</si>
  <si>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</si>
  <si>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</si>
  <si>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</si>
  <si>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</si>
  <si>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</si>
  <si>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</si>
  <si>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</si>
  <si>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</si>
  <si>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</si>
  <si>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</si>
  <si>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</si>
  <si>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</si>
  <si>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</si>
  <si>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</si>
  <si>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</si>
  <si>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</si>
  <si>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</si>
  <si>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</si>
  <si>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</si>
  <si>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</si>
  <si>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</si>
  <si>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</si>
  <si>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</si>
  <si>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</si>
  <si>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</si>
  <si>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</si>
  <si>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</si>
  <si>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</si>
  <si>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</si>
  <si>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</si>
  <si>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</si>
  <si>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</si>
  <si>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</si>
  <si>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</si>
  <si>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</si>
  <si>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</si>
  <si>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</si>
  <si>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</si>
  <si>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</si>
  <si>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</si>
  <si>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</si>
  <si>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</si>
  <si>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</si>
  <si>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</si>
  <si>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</si>
  <si>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</si>
  <si>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</si>
  <si>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</si>
  <si>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</si>
  <si>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</si>
  <si>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</si>
  <si>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</si>
  <si>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</si>
  <si>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</si>
  <si>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</si>
  <si>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</si>
  <si>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</si>
  <si>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</si>
  <si>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</si>
  <si>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</si>
  <si>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</si>
  <si>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</si>
  <si>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</si>
  <si>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</si>
  <si>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</si>
  <si>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</si>
  <si>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</si>
  <si>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</si>
  <si>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</si>
  <si>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</si>
  <si>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</si>
  <si>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</si>
  <si>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</si>
  <si>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</si>
  <si>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</si>
  <si>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</si>
  <si>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</si>
  <si>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</si>
  <si>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</si>
  <si>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</si>
  <si>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</si>
  <si>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</si>
  <si>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</si>
  <si>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</si>
  <si>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</si>
  <si>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</si>
  <si>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</si>
  <si>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</si>
  <si>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</si>
  <si>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</si>
  <si>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</si>
  <si>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</si>
  <si>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</si>
  <si>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</si>
  <si>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</si>
  <si>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</si>
  <si>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</si>
  <si>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</si>
  <si>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</si>
  <si>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</si>
  <si>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</si>
  <si>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</si>
  <si>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</si>
  <si>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</si>
  <si>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</si>
  <si>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</si>
  <si>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</si>
  <si>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</si>
  <si>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</si>
  <si>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</si>
  <si>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</si>
  <si>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</si>
  <si>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</si>
  <si>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</si>
  <si>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</si>
  <si>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</si>
  <si>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</si>
  <si>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</si>
  <si>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</si>
  <si>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</si>
  <si>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</si>
  <si>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</si>
  <si>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</si>
  <si>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</si>
  <si>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</si>
  <si>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</si>
  <si>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</si>
  <si>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</si>
  <si>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</si>
  <si>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</si>
  <si>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</si>
  <si>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</si>
  <si>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</si>
  <si>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</si>
  <si>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</si>
  <si>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</si>
  <si>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</si>
  <si>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</si>
  <si>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</si>
  <si>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</si>
  <si>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</si>
  <si>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</si>
  <si>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</si>
  <si>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</si>
  <si>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</si>
  <si>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</si>
  <si>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</si>
  <si>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</si>
  <si>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</si>
  <si>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</si>
  <si>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</si>
  <si>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</si>
  <si>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</si>
  <si>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</si>
  <si>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</si>
  <si>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</si>
  <si>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</si>
  <si>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</si>
  <si>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</si>
  <si>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</si>
  <si>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</si>
  <si>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</si>
  <si>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</si>
  <si>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</si>
  <si>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</si>
  <si>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</si>
  <si>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</si>
  <si>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</si>
  <si>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</si>
  <si>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</si>
  <si>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</si>
  <si>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</si>
  <si>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</si>
  <si>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</si>
  <si>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</si>
  <si>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</si>
  <si>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</si>
  <si>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</si>
  <si>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</si>
  <si>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</si>
  <si>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</si>
  <si>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</si>
  <si>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</si>
  <si>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</si>
  <si>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</si>
  <si>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</si>
  <si>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</si>
  <si>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</si>
  <si>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</si>
  <si>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</si>
  <si>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</si>
  <si>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</si>
  <si>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</si>
  <si>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</si>
  <si>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</si>
  <si>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</si>
  <si>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</si>
  <si>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</si>
  <si>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</si>
  <si>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</si>
  <si>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</si>
  <si>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</si>
  <si>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</si>
  <si>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</si>
  <si>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</si>
  <si>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</si>
  <si>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</si>
  <si>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</si>
  <si>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</si>
  <si>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</si>
  <si>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</si>
  <si>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</si>
  <si>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</si>
  <si>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</si>
  <si>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</si>
  <si>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</si>
  <si>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</si>
  <si>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</si>
  <si>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</si>
  <si>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</si>
  <si>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</si>
  <si>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</si>
  <si>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</si>
  <si>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</si>
  <si>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</si>
  <si>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</si>
  <si>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</si>
  <si>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</si>
  <si>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</si>
  <si>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</si>
  <si>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</si>
  <si>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</si>
  <si>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</si>
  <si>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</si>
  <si>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</si>
  <si>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</si>
  <si>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</si>
  <si>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</si>
  <si>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</si>
  <si>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</si>
  <si>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</si>
  <si>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</si>
  <si>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</si>
  <si>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</si>
  <si>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</si>
  <si>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</si>
  <si>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</si>
  <si>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</si>
  <si>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</si>
  <si>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</si>
  <si>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</si>
  <si>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</si>
  <si>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</si>
  <si>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</si>
  <si>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</si>
  <si>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</si>
  <si>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</si>
  <si>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</si>
  <si>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</si>
  <si>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</si>
  <si>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</si>
  <si>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</si>
  <si>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</si>
  <si>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</si>
  <si>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</si>
  <si>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</si>
  <si>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</si>
  <si>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</si>
  <si>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</si>
  <si>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</si>
  <si>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</si>
  <si>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</si>
  <si>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</si>
  <si>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</si>
  <si>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</si>
  <si>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</si>
  <si>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</si>
  <si>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</si>
  <si>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</si>
  <si>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</si>
  <si>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</si>
  <si>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</si>
  <si>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</si>
  <si>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</si>
  <si>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</si>
  <si>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</si>
  <si>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</si>
  <si>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</si>
  <si>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</si>
  <si>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</si>
  <si>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</si>
  <si>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</si>
  <si>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</si>
  <si>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</si>
  <si>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</si>
  <si>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</si>
  <si>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</si>
  <si>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</si>
  <si>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</si>
  <si>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</si>
  <si>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</si>
  <si>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</si>
  <si>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</si>
  <si>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</si>
  <si>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</si>
  <si>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</si>
  <si>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</si>
  <si>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</si>
  <si>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</si>
  <si>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</si>
  <si>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</si>
  <si>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</si>
  <si>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</si>
  <si>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</si>
  <si>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</si>
  <si>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</si>
  <si>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</si>
  <si>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</si>
  <si>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</si>
  <si>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</si>
  <si>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</si>
  <si>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</si>
  <si>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</si>
  <si>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</si>
  <si>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</si>
  <si>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</si>
  <si>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</si>
  <si>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</si>
  <si>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</si>
  <si>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</si>
  <si>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</si>
  <si>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</si>
  <si>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</si>
  <si>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</si>
  <si>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</si>
  <si>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</si>
  <si>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</si>
  <si>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</si>
  <si>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</si>
  <si>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</si>
  <si>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</si>
  <si>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</si>
  <si>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</si>
  <si>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</si>
  <si>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</si>
  <si>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</si>
  <si>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</si>
  <si>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</si>
  <si>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</si>
  <si>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</si>
  <si>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</si>
  <si>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</si>
  <si>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</si>
  <si>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</si>
  <si>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</si>
  <si>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</si>
  <si>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</si>
  <si>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</si>
  <si>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</si>
  <si>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</si>
  <si>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</si>
  <si>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</si>
  <si>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</si>
  <si>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</si>
  <si>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</si>
  <si>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</si>
  <si>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</si>
  <si>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</si>
  <si>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</si>
  <si>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</si>
  <si>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</si>
  <si>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</si>
  <si>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</si>
  <si>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</si>
  <si>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</si>
  <si>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</si>
  <si>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</si>
  <si>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</si>
  <si>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</si>
  <si>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</si>
  <si>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</si>
  <si>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</si>
  <si>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</si>
  <si>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</si>
  <si>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</si>
  <si>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</si>
  <si>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</si>
  <si>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</si>
  <si>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</si>
  <si>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</si>
  <si>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</si>
  <si>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</si>
  <si>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</si>
  <si>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</si>
  <si>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</si>
  <si>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</si>
  <si>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</si>
  <si>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</si>
  <si>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</si>
  <si>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</si>
  <si>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</si>
  <si>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</si>
  <si>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</si>
  <si>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</si>
  <si>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</si>
  <si>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</si>
  <si>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</si>
  <si>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</si>
  <si>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</si>
  <si>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</si>
  <si>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</si>
  <si>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</si>
  <si>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</si>
  <si>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</si>
  <si>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</si>
  <si>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</si>
  <si>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</si>
  <si>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</si>
  <si>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</si>
  <si>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</si>
  <si>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</si>
  <si>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</si>
  <si>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</si>
  <si>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</si>
  <si>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</si>
  <si>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</si>
  <si>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</si>
  <si>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</si>
  <si>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</si>
  <si>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</si>
  <si>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</si>
  <si>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</si>
  <si>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</si>
  <si>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</si>
  <si>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</si>
  <si>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</si>
  <si>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</si>
  <si>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</si>
  <si>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</si>
  <si>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</si>
  <si>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</si>
  <si>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</si>
  <si>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</si>
  <si>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</si>
  <si>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</si>
  <si>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</si>
  <si>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</si>
  <si>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</si>
  <si>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</si>
  <si>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</si>
  <si>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</si>
  <si>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</si>
  <si>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</si>
  <si>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</si>
  <si>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</si>
  <si>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</si>
  <si>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</si>
  <si>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</si>
  <si>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</si>
  <si>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</si>
  <si>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</si>
  <si>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</si>
  <si>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</si>
  <si>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</si>
  <si>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</si>
  <si>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</si>
  <si>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</si>
  <si>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</si>
  <si>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</si>
  <si>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</si>
  <si>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</si>
  <si>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</si>
  <si>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</si>
  <si>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</si>
  <si>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</si>
  <si>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</si>
  <si>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</si>
  <si>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</si>
  <si>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</si>
  <si>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</si>
  <si>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</si>
  <si>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</si>
  <si>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</si>
  <si>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</si>
  <si>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</si>
  <si>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</si>
  <si>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</si>
  <si>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</si>
  <si>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</si>
  <si>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</si>
  <si>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</si>
  <si>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</si>
  <si>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</si>
  <si>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</si>
  <si>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</si>
  <si>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</si>
  <si>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</si>
  <si>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</si>
  <si>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</si>
  <si>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</si>
  <si>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</si>
  <si>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</si>
  <si>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</si>
  <si>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</si>
  <si>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</si>
  <si>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</si>
  <si>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</si>
  <si>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</si>
  <si>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</si>
  <si>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</si>
  <si>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</si>
  <si>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</si>
  <si>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</si>
  <si>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</si>
  <si>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</si>
  <si>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</si>
  <si>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</si>
  <si>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</si>
  <si>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</si>
  <si>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</si>
  <si>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</si>
  <si>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</si>
  <si>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</si>
  <si>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</si>
  <si>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</si>
  <si>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</si>
  <si>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</si>
  <si>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</si>
  <si>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</si>
  <si>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</si>
  <si>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</si>
  <si>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</si>
  <si>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</si>
  <si>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</si>
  <si>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</si>
  <si>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</si>
  <si>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</si>
  <si>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</si>
  <si>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</si>
  <si>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</si>
  <si>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</si>
  <si>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</si>
  <si>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</si>
  <si>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</si>
  <si>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</si>
  <si>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</si>
  <si>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</si>
  <si>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</si>
  <si>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</si>
  <si>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</si>
  <si>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</si>
  <si>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</si>
  <si>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</si>
  <si>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</si>
  <si>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</si>
  <si>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</si>
  <si>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</si>
  <si>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</si>
  <si>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</si>
  <si>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</si>
  <si>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</si>
  <si>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</si>
  <si>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</si>
  <si>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</si>
  <si>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</si>
  <si>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</si>
  <si>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</si>
  <si>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</si>
  <si>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</si>
  <si>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</si>
  <si>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</si>
  <si>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</si>
  <si>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</si>
  <si>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</si>
  <si>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</si>
  <si>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</si>
  <si>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</si>
  <si>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</si>
  <si>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</si>
  <si>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</si>
  <si>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</si>
  <si>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</si>
  <si>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</si>
  <si>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</si>
  <si>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</si>
  <si>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</si>
  <si>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</si>
  <si>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</si>
  <si>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</si>
  <si>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</si>
  <si>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</si>
  <si>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</si>
  <si>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</si>
  <si>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</si>
  <si>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</si>
  <si>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</si>
  <si>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</si>
  <si>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</si>
  <si>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</si>
  <si>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</si>
  <si>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</si>
  <si>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</si>
  <si>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</si>
  <si>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</si>
  <si>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</si>
  <si>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</si>
  <si>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</si>
  <si>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</si>
  <si>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</si>
  <si>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</si>
  <si>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</si>
  <si>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</si>
  <si>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</si>
  <si>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</si>
  <si>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</si>
  <si>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</si>
  <si>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</si>
  <si>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</si>
  <si>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</si>
  <si>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</si>
  <si>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</si>
  <si>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</si>
  <si>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</si>
  <si>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</si>
  <si>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</si>
  <si>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</si>
  <si>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</si>
  <si>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</si>
  <si>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</si>
  <si>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</si>
  <si>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</si>
  <si>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</si>
  <si>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</si>
  <si>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</si>
  <si>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</si>
  <si>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</si>
  <si>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</si>
  <si>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</si>
  <si>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</si>
  <si>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</si>
  <si>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</si>
  <si>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</si>
  <si>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</si>
  <si>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</si>
  <si>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</si>
  <si>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</si>
  <si>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</si>
  <si>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</si>
  <si>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</si>
  <si>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</si>
  <si>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</si>
  <si>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</si>
  <si>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</si>
  <si>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</si>
  <si>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</si>
  <si>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</si>
  <si>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</si>
  <si>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</si>
  <si>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</si>
  <si>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</si>
  <si>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</si>
  <si>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</si>
  <si>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</si>
  <si>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</si>
  <si>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</si>
  <si>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</si>
  <si>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</si>
  <si>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</si>
  <si>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</si>
  <si>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</si>
  <si>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</si>
  <si>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</si>
  <si>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</si>
  <si>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</si>
  <si>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</si>
  <si>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</si>
  <si>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</si>
  <si>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</si>
  <si>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</si>
  <si>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</si>
  <si>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</si>
  <si>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</si>
  <si>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</si>
  <si>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</si>
  <si>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</si>
  <si>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</si>
  <si>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</si>
  <si>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</si>
  <si>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</si>
  <si>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</si>
  <si>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</si>
  <si>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</si>
  <si>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</si>
  <si>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</si>
  <si>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</si>
  <si>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</si>
  <si>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</si>
  <si>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</si>
  <si>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</si>
  <si>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</si>
  <si>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</si>
  <si>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</si>
  <si>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</si>
  <si>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</si>
  <si>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</si>
  <si>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</si>
  <si>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</si>
  <si>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</si>
  <si>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</si>
  <si>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</si>
  <si>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</si>
  <si>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</si>
  <si>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</si>
  <si>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</si>
  <si>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</si>
  <si>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</si>
  <si>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</si>
  <si>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</si>
  <si>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</si>
  <si>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</si>
  <si>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</si>
  <si>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</si>
  <si>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</si>
  <si>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</si>
  <si>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</si>
  <si>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</si>
  <si>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</si>
  <si>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</si>
  <si>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</si>
  <si>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</si>
  <si>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</si>
  <si>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</si>
  <si>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</si>
  <si>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</si>
  <si>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</si>
  <si>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</si>
  <si>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</si>
  <si>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</si>
  <si>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</si>
  <si>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</si>
  <si>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</si>
  <si>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</si>
  <si>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</si>
  <si>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</si>
  <si>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</si>
  <si>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</si>
  <si>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</si>
  <si>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</si>
  <si>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</si>
  <si>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</si>
  <si>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</si>
  <si>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</si>
  <si>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</si>
  <si>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</si>
  <si>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</si>
  <si>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</si>
  <si>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</si>
  <si>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</si>
  <si>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</si>
  <si>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</si>
  <si>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</si>
  <si>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</si>
  <si>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</si>
  <si>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</si>
  <si>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</si>
  <si>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</si>
  <si>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</si>
  <si>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</si>
  <si>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</si>
  <si>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</si>
  <si>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</si>
  <si>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</si>
  <si>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</si>
  <si>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</si>
  <si>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</si>
  <si>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</si>
  <si>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</si>
  <si>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</si>
  <si>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</si>
  <si>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</si>
  <si>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</si>
  <si>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</si>
  <si>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</si>
  <si>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</si>
  <si>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</si>
  <si>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</si>
  <si>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</si>
  <si>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</si>
  <si>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</si>
  <si>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</si>
  <si>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</si>
  <si>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</si>
  <si>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</si>
  <si>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</si>
  <si>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</si>
  <si>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</si>
  <si>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</si>
  <si>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</si>
  <si>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</si>
  <si>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</si>
  <si>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</si>
  <si>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</si>
  <si>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</si>
  <si>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</si>
  <si>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</si>
  <si>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</si>
  <si>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</si>
  <si>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</si>
  <si>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</si>
  <si>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</si>
  <si>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</si>
  <si>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</si>
  <si>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</si>
  <si>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</si>
  <si>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</si>
  <si>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</si>
  <si>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</si>
  <si>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</si>
  <si>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</si>
  <si>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</si>
  <si>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</si>
  <si>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</si>
  <si>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</si>
  <si>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</si>
  <si>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</si>
  <si>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</si>
  <si>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</si>
  <si>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</si>
  <si>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</si>
  <si>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</si>
  <si>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</si>
  <si>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</si>
  <si>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</si>
  <si>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</si>
  <si>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</si>
  <si>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</si>
  <si>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</si>
  <si>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</si>
  <si>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</si>
  <si>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</si>
  <si>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</si>
  <si>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</si>
  <si>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</si>
  <si>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</si>
  <si>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</si>
  <si>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</si>
  <si>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</si>
  <si>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</si>
  <si>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</si>
  <si>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</si>
  <si>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</si>
  <si>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</si>
  <si>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</si>
  <si>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</si>
  <si>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</si>
  <si>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</si>
  <si>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</si>
  <si>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</si>
  <si>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</si>
  <si>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</si>
  <si>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</si>
  <si>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</si>
  <si>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</si>
  <si>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</si>
  <si>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</si>
  <si>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</si>
  <si>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</si>
  <si>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</si>
  <si>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</si>
  <si>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</si>
  <si>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</si>
  <si>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</si>
  <si>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</si>
  <si>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</si>
  <si>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</si>
  <si>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</si>
  <si>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</si>
  <si>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</si>
  <si>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</si>
  <si>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</si>
  <si>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</si>
  <si>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</si>
  <si>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</si>
  <si>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</si>
  <si>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</si>
  <si>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</si>
  <si>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</si>
  <si>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</si>
  <si>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</si>
  <si>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</si>
  <si>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</si>
  <si>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</si>
  <si>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</si>
  <si>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</si>
  <si>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</si>
  <si>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</si>
  <si>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</si>
  <si>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</si>
  <si>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</si>
  <si>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</si>
  <si>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</si>
  <si>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</si>
  <si>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</si>
  <si>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</si>
  <si>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</si>
  <si>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</si>
  <si>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</si>
  <si>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</si>
  <si>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</si>
  <si>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</si>
  <si>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</si>
  <si>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</si>
  <si>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</si>
  <si>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</si>
  <si>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</si>
  <si>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</si>
  <si>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</si>
  <si>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</si>
  <si>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</si>
  <si>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</si>
  <si>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</si>
  <si>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</si>
  <si>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</si>
  <si>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</si>
  <si>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</si>
  <si>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</si>
  <si>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</si>
  <si>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</si>
  <si>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</si>
  <si>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</si>
  <si>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</si>
  <si>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</si>
  <si>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</si>
  <si>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</si>
  <si>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</si>
  <si>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</si>
  <si>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</si>
  <si>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</si>
  <si>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</si>
  <si>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</si>
  <si>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</si>
  <si>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</si>
  <si>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</si>
  <si>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</si>
  <si>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</si>
  <si>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</si>
  <si>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</si>
  <si>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</si>
  <si>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</si>
  <si>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</si>
  <si>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</si>
  <si>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</si>
  <si>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</si>
  <si>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</si>
  <si>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</si>
  <si>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</si>
  <si>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</si>
  <si>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</si>
  <si>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</si>
  <si>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</si>
  <si>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</si>
  <si>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</si>
  <si>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</si>
  <si>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</si>
  <si>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</si>
  <si>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</si>
  <si>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</si>
  <si>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</si>
  <si>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</si>
  <si>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</si>
  <si>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</si>
  <si>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</si>
  <si>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</si>
  <si>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</si>
  <si>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</si>
  <si>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</si>
  <si>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</si>
  <si>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</si>
  <si>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</si>
  <si>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</si>
  <si>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</si>
  <si>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</si>
  <si>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</si>
  <si>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</si>
  <si>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</si>
  <si>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</si>
  <si>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</si>
  <si>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</si>
  <si>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</si>
  <si>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</si>
  <si>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</si>
  <si>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</si>
  <si>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</si>
  <si>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</si>
  <si>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</si>
  <si>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</si>
  <si>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</si>
  <si>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</si>
  <si>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</si>
  <si>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</si>
  <si>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</si>
  <si>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</si>
  <si>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</si>
  <si>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</si>
  <si>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</si>
  <si>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</si>
  <si>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</si>
  <si>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</si>
  <si>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</si>
  <si>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</si>
  <si>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</si>
  <si>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</si>
  <si>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</si>
  <si>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</si>
  <si>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</si>
  <si>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</si>
  <si>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</si>
  <si>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</si>
  <si>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</si>
  <si>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</si>
  <si>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</si>
  <si>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</si>
  <si>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</si>
  <si>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</si>
  <si>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</si>
  <si>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</si>
  <si>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</si>
  <si>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</si>
  <si>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</si>
  <si>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</si>
  <si>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</si>
  <si>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</si>
  <si>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</si>
  <si>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</si>
  <si>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</si>
  <si>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</si>
  <si>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</si>
  <si>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</si>
  <si>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</si>
  <si>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</si>
  <si>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</si>
  <si>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</si>
  <si>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</si>
  <si>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</si>
  <si>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</si>
  <si>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</si>
  <si>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</si>
  <si>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</si>
  <si>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</si>
  <si>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</si>
  <si>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</si>
  <si>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</si>
  <si>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</si>
  <si>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</si>
  <si>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</si>
  <si>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</si>
  <si>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</si>
  <si>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</si>
  <si>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</si>
  <si>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</si>
  <si>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</si>
  <si>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</si>
  <si>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</si>
  <si>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</si>
  <si>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</si>
  <si>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</si>
  <si>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</si>
  <si>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</si>
  <si>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</si>
  <si>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</si>
  <si>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</si>
  <si>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</si>
  <si>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</si>
  <si>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</si>
  <si>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</si>
  <si>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</si>
  <si>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</si>
  <si>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</si>
  <si>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</si>
  <si>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</si>
  <si>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</si>
  <si>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</si>
  <si>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</si>
  <si>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</si>
  <si>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</si>
  <si>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</si>
  <si>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</si>
  <si>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</si>
  <si>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</si>
  <si>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</si>
  <si>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</si>
  <si>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</si>
  <si>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</si>
  <si>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</si>
  <si>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</si>
  <si>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</si>
  <si>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</si>
  <si>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</si>
  <si>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</si>
  <si>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</si>
  <si>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</si>
  <si>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</si>
  <si>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</si>
  <si>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</si>
  <si>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</si>
  <si>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</si>
  <si>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</si>
  <si>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</si>
  <si>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</si>
  <si>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</si>
  <si>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</si>
  <si>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</si>
  <si>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</si>
  <si>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</si>
  <si>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</si>
  <si>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</si>
  <si>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</si>
  <si>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</si>
  <si>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</si>
  <si>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</si>
  <si>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</si>
  <si>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</si>
  <si>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</si>
  <si>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</si>
  <si>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</si>
  <si>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</si>
  <si>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</si>
  <si>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</si>
  <si>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</si>
  <si>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</si>
  <si>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</si>
  <si>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</si>
  <si>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</si>
  <si>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</si>
  <si>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</si>
  <si>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</si>
  <si>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</si>
  <si>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</si>
  <si>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</si>
  <si>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</si>
  <si>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</si>
  <si>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</si>
  <si>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</si>
  <si>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</si>
  <si>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</si>
  <si>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</si>
  <si>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</si>
  <si>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</si>
  <si>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</si>
  <si>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</si>
  <si>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</si>
  <si>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</si>
  <si>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</si>
  <si>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</si>
  <si>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</si>
  <si>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</si>
  <si>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</si>
  <si>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</si>
  <si>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</si>
  <si>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</si>
  <si>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</si>
  <si>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</si>
  <si>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</si>
  <si>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</si>
  <si>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</si>
  <si>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</si>
  <si>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</si>
  <si>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</si>
  <si>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</si>
  <si>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</si>
  <si>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</si>
  <si>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</si>
  <si>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</si>
  <si>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</si>
  <si>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</si>
  <si>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</si>
  <si>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</si>
  <si>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</si>
  <si>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</si>
  <si>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</si>
  <si>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</si>
  <si>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</si>
  <si>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</si>
  <si>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</si>
  <si>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</si>
  <si>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</si>
  <si>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</si>
  <si>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</si>
  <si>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</si>
  <si>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</si>
  <si>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</si>
  <si>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</si>
  <si>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</si>
  <si>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</si>
  <si>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</si>
  <si>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</si>
  <si>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</si>
  <si>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</si>
  <si>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</si>
  <si>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</si>
  <si>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</si>
  <si>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</si>
  <si>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</si>
  <si>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</si>
  <si>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</si>
  <si>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</si>
  <si>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</si>
  <si>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</si>
  <si>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</si>
  <si>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</si>
  <si>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</si>
  <si>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</si>
  <si>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</si>
  <si>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</si>
  <si>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</si>
  <si>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</si>
  <si>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</si>
  <si>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</si>
  <si>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</si>
  <si>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</si>
  <si>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</si>
  <si>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</si>
  <si>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</si>
  <si>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</si>
  <si>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</si>
  <si>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</si>
  <si>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</si>
  <si>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</si>
  <si>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</si>
  <si>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</si>
  <si>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</si>
  <si>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</si>
  <si>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</si>
  <si>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</si>
  <si>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</si>
  <si>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</si>
  <si>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</si>
  <si>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</si>
  <si>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</si>
  <si>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</si>
  <si>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</si>
  <si>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</si>
  <si>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</si>
  <si>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</si>
  <si>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</si>
  <si>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</si>
  <si>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</si>
  <si>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</si>
  <si>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</si>
  <si>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</si>
  <si>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</si>
  <si>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</si>
  <si>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</si>
  <si>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</si>
  <si>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</si>
  <si>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</si>
  <si>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</si>
  <si>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</si>
  <si>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</si>
  <si>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</si>
  <si>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</si>
  <si>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</si>
  <si>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</si>
  <si>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</si>
  <si>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</si>
  <si>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</si>
  <si>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</si>
  <si>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</si>
  <si>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</si>
  <si>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</si>
  <si>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</si>
  <si>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</si>
  <si>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</si>
  <si>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</si>
  <si>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</si>
  <si>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</si>
  <si>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</si>
  <si>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</si>
  <si>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</si>
  <si>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</si>
  <si>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</si>
  <si>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</si>
  <si>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</si>
  <si>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</si>
  <si>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</si>
  <si>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</si>
  <si>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</si>
  <si>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</si>
  <si>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</si>
  <si>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</si>
  <si>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</si>
  <si>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</si>
  <si>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</si>
  <si>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</si>
  <si>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</si>
  <si>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</si>
  <si>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</si>
  <si>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</si>
  <si>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</si>
  <si>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</si>
  <si>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</si>
  <si>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</si>
  <si>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</si>
  <si>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</si>
  <si>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</si>
  <si>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</si>
  <si>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</si>
  <si>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</si>
  <si>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</si>
  <si>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</si>
  <si>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</si>
  <si>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</si>
  <si>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</si>
  <si>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</si>
  <si>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</si>
  <si>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</si>
  <si>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</si>
  <si>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</si>
  <si>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</si>
  <si>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</si>
  <si>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</si>
  <si>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</si>
  <si>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</si>
  <si>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</si>
  <si>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</si>
  <si>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</si>
  <si>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</si>
  <si>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</si>
  <si>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</si>
  <si>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</si>
  <si>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</si>
  <si>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</si>
  <si>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</si>
  <si>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</si>
  <si>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</si>
  <si>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</si>
  <si>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</si>
  <si>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</si>
  <si>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</si>
  <si>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</si>
  <si>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</si>
  <si>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</si>
  <si>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</si>
  <si>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</si>
  <si>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</si>
  <si>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</si>
  <si>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</si>
  <si>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</si>
  <si>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</si>
  <si>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</si>
  <si>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</si>
  <si>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</si>
  <si>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</si>
  <si>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</si>
  <si>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</si>
  <si>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</si>
  <si>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</si>
  <si>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</si>
  <si>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</si>
  <si>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</si>
  <si>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</si>
  <si>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</si>
  <si>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</si>
  <si>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</si>
  <si>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</si>
  <si>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</si>
  <si>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</si>
  <si>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</si>
  <si>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</si>
  <si>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</si>
  <si>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</si>
  <si>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</si>
  <si>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</si>
  <si>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</si>
  <si>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</si>
  <si>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</si>
  <si>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</si>
  <si>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</si>
  <si>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</si>
  <si>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</si>
  <si>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</si>
  <si>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</si>
  <si>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</si>
  <si>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</si>
  <si>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</si>
  <si>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</si>
  <si>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</si>
  <si>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</si>
  <si>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</si>
  <si>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</si>
  <si>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</si>
  <si>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</si>
  <si>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</si>
  <si>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</si>
  <si>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</si>
  <si>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</si>
  <si>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</si>
  <si>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</si>
  <si>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</si>
  <si>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</si>
  <si>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</si>
  <si>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</si>
  <si>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</si>
  <si>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</si>
  <si>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</si>
  <si>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</si>
  <si>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</si>
  <si>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</si>
  <si>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</si>
  <si>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</si>
  <si>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</si>
  <si>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</si>
  <si>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</si>
  <si>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</si>
  <si>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</si>
  <si>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</si>
  <si>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</si>
  <si>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</si>
  <si>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</si>
  <si>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</si>
  <si>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</si>
  <si>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</si>
  <si>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</si>
  <si>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</si>
  <si>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</si>
  <si>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</si>
  <si>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</si>
  <si>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</si>
  <si>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</si>
  <si>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</si>
  <si>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</si>
  <si>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</si>
  <si>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</si>
  <si>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</si>
  <si>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</si>
  <si>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</si>
  <si>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</si>
  <si>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</si>
  <si>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</si>
  <si>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</si>
  <si>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</si>
  <si>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</si>
  <si>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</si>
  <si>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</si>
  <si>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</si>
  <si>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</si>
  <si>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</si>
  <si>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</si>
  <si>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</si>
  <si>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</si>
  <si>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</si>
  <si>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</si>
  <si>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</si>
  <si>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</si>
  <si>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</si>
  <si>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</si>
  <si>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</si>
  <si>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</si>
  <si>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</si>
  <si>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</si>
  <si>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</si>
  <si>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</si>
  <si>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</si>
  <si>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</si>
  <si>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</si>
  <si>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</si>
  <si>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</si>
  <si>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</si>
  <si>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</si>
  <si>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</si>
  <si>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</si>
  <si>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</si>
  <si>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</si>
  <si>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</si>
  <si>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</si>
  <si>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</si>
  <si>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</si>
  <si>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</si>
  <si>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</si>
  <si>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</si>
  <si>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</si>
  <si>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</si>
  <si>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</si>
  <si>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</si>
  <si>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</si>
  <si>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</si>
  <si>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</si>
  <si>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</si>
  <si>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</si>
  <si>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</si>
  <si>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</si>
  <si>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</si>
  <si>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</si>
  <si>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</si>
  <si>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</si>
  <si>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</si>
  <si>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</si>
  <si>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</si>
  <si>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</si>
  <si>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</si>
  <si>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</si>
  <si>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</si>
  <si>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</si>
  <si>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</si>
  <si>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</si>
  <si>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</si>
  <si>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</si>
  <si>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</si>
  <si>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</si>
  <si>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</si>
  <si>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</si>
  <si>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</si>
  <si>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</si>
  <si>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</si>
  <si>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</si>
  <si>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</si>
  <si>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</si>
  <si>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</si>
  <si>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</si>
  <si>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</si>
  <si>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</si>
  <si>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</si>
  <si>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</si>
  <si>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</si>
  <si>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</si>
  <si>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</si>
  <si>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</si>
  <si>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</si>
  <si>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</si>
  <si>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</si>
  <si>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</si>
  <si>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</si>
  <si>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</si>
  <si>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</si>
  <si>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</si>
  <si>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</si>
  <si>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</si>
  <si>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</si>
  <si>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</si>
  <si>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</si>
  <si>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</si>
  <si>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</si>
  <si>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</si>
  <si>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</si>
  <si>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</si>
  <si>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</si>
  <si>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</si>
  <si>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</si>
  <si>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</si>
  <si>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</si>
  <si>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</si>
  <si>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</si>
  <si>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</si>
  <si>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</si>
  <si>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</si>
  <si>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</si>
  <si>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</si>
  <si>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</si>
  <si>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</si>
  <si>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</si>
  <si>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</si>
  <si>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</si>
  <si>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</si>
  <si>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</si>
  <si>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</si>
  <si>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</si>
  <si>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</si>
  <si>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</si>
  <si>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</si>
  <si>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</si>
  <si>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</si>
  <si>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</si>
  <si>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</si>
  <si>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</si>
  <si>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</si>
  <si>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</si>
  <si>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</si>
  <si>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</si>
  <si>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</si>
  <si>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</si>
  <si>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</si>
  <si>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</si>
  <si>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</si>
  <si>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</si>
  <si>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</si>
  <si>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</si>
  <si>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</si>
  <si>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</si>
  <si>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</si>
  <si>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</si>
  <si>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</si>
  <si>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</si>
  <si>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</si>
  <si>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</si>
  <si>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</si>
  <si>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</si>
  <si>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</si>
  <si>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</si>
  <si>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</si>
  <si>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</si>
  <si>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</si>
  <si>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</si>
  <si>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</si>
  <si>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</si>
  <si>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</si>
  <si>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</si>
  <si>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</si>
  <si>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</si>
  <si>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</si>
  <si>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</si>
  <si>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</si>
  <si>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</si>
  <si>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</si>
  <si>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</si>
  <si>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</si>
  <si>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</si>
  <si>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</si>
  <si>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</si>
  <si>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</si>
  <si>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</si>
  <si>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</si>
  <si>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</si>
  <si>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</si>
  <si>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</si>
  <si>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</si>
  <si>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</si>
  <si>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</si>
  <si>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</si>
  <si>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</si>
  <si>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</si>
  <si>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</si>
  <si>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</si>
  <si>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</si>
  <si>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</si>
  <si>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</si>
  <si>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</si>
  <si>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</si>
  <si>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</si>
  <si>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</si>
  <si>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</si>
  <si>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</si>
  <si>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</si>
  <si>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</si>
  <si>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</si>
  <si>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</si>
  <si>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</si>
  <si>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</si>
  <si>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</si>
  <si>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</si>
  <si>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</si>
  <si>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</si>
  <si>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</si>
  <si>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</si>
  <si>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</si>
  <si>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</si>
  <si>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</si>
  <si>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</si>
  <si>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</si>
  <si>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</si>
  <si>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</si>
  <si>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</si>
  <si>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</si>
  <si>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</si>
  <si>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</si>
  <si>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</si>
  <si>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</si>
  <si>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</si>
  <si>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</si>
  <si>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</si>
  <si>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</si>
  <si>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</si>
  <si>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</si>
  <si>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</si>
  <si>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</si>
  <si>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</si>
  <si>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</si>
  <si>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</si>
  <si>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</si>
  <si>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</si>
  <si>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</si>
  <si>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</si>
  <si>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</si>
  <si>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</si>
  <si>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</si>
  <si>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</si>
  <si>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</si>
  <si>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</si>
  <si>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</si>
  <si>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</si>
  <si>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</si>
  <si>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</si>
  <si>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</si>
  <si>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</si>
  <si>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</si>
  <si>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</si>
  <si>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</si>
  <si>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</si>
  <si>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</si>
  <si>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</si>
  <si>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</si>
  <si>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</si>
  <si>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</si>
  <si>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</si>
  <si>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</si>
  <si>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</si>
  <si>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</si>
  <si>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</si>
  <si>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</si>
  <si>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</si>
  <si>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</si>
  <si>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</si>
  <si>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</si>
  <si>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</si>
  <si>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</si>
  <si>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</si>
  <si>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</si>
  <si>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</si>
  <si>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</si>
  <si>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</si>
  <si>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</si>
  <si>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</si>
  <si>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</si>
  <si>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</si>
  <si>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</si>
  <si>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</si>
  <si>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</si>
  <si>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</si>
  <si>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</si>
  <si>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</si>
  <si>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</si>
  <si>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</si>
  <si>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</si>
  <si>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</si>
  <si>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</si>
  <si>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</si>
  <si>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</si>
  <si>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</si>
  <si>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</si>
  <si>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</si>
  <si>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</si>
  <si>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</si>
  <si>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</si>
  <si>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</si>
  <si>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</si>
  <si>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</si>
  <si>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</si>
  <si>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</si>
  <si>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</si>
  <si>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</si>
  <si>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</si>
  <si>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</si>
  <si>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</si>
  <si>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</si>
  <si>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</si>
  <si>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</si>
  <si>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</si>
  <si>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</si>
  <si>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</si>
  <si>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</si>
  <si>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</si>
  <si>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</si>
  <si>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</si>
  <si>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</si>
  <si>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</si>
  <si>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</si>
  <si>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</si>
  <si>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</si>
  <si>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</si>
  <si>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</si>
  <si>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</si>
  <si>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</si>
  <si>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</si>
  <si>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</si>
  <si>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</si>
  <si>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</si>
  <si>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</si>
  <si>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</si>
  <si>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</si>
  <si>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</si>
  <si>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</si>
  <si>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</si>
  <si>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</si>
  <si>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</si>
  <si>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</si>
  <si>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</si>
  <si>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</si>
  <si>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</si>
  <si>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</si>
  <si>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</si>
  <si>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</si>
  <si>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</si>
  <si>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</si>
  <si>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</si>
  <si>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</si>
  <si>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</si>
  <si>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</si>
  <si>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</si>
  <si>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</si>
  <si>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</si>
  <si>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</si>
  <si>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</si>
  <si>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</si>
  <si>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</si>
  <si>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</si>
  <si>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</si>
  <si>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</si>
  <si>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</si>
  <si>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</si>
  <si>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</si>
  <si>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</si>
  <si>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</si>
  <si>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</si>
  <si>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</si>
  <si>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</si>
  <si>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</si>
  <si>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</si>
  <si>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</si>
  <si>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</si>
  <si>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</si>
  <si>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</si>
  <si>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</si>
  <si>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</si>
  <si>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</si>
  <si>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</si>
  <si>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</si>
  <si>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</si>
  <si>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</si>
  <si>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</si>
  <si>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</si>
  <si>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</si>
  <si>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</si>
  <si>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</si>
  <si>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</si>
  <si>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</si>
  <si>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</si>
  <si>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</si>
  <si>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</si>
  <si>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</si>
  <si>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</si>
  <si>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</si>
  <si>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</si>
  <si>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</si>
  <si>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</si>
  <si>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</si>
  <si>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</si>
  <si>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</si>
  <si>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</si>
  <si>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</si>
  <si>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</si>
  <si>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</si>
  <si>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</si>
  <si>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</si>
  <si>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</si>
  <si>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</si>
  <si>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</si>
  <si>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</si>
  <si>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</si>
  <si>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</si>
  <si>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</si>
  <si>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</si>
  <si>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</si>
  <si>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</si>
  <si>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</si>
  <si>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</si>
  <si>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</si>
  <si>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</si>
  <si>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</si>
  <si>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</si>
  <si>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</si>
  <si>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</si>
  <si>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</si>
  <si>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</si>
  <si>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</si>
  <si>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</si>
  <si>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</si>
  <si>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</si>
  <si>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</si>
  <si>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</si>
  <si>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</si>
  <si>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</si>
  <si>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</si>
  <si>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</si>
  <si>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</si>
  <si>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</si>
  <si>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</si>
  <si>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</si>
  <si>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</si>
  <si>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</si>
  <si>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</si>
  <si>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</si>
  <si>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</si>
  <si>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</si>
  <si>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</si>
  <si>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</si>
  <si>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</si>
  <si>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</si>
  <si>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</si>
  <si>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</si>
  <si>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</si>
  <si>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</si>
  <si>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</si>
  <si>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</si>
  <si>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</si>
  <si>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</si>
  <si>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</si>
  <si>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</si>
  <si>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</si>
  <si>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</si>
  <si>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</si>
  <si>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</si>
  <si>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</si>
  <si>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</si>
  <si>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</si>
  <si>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</si>
  <si>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</si>
  <si>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</si>
  <si>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</si>
  <si>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</si>
  <si>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</si>
  <si>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</si>
  <si>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</si>
  <si>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</si>
  <si>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</si>
  <si>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</si>
  <si>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</si>
  <si>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</si>
  <si>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</si>
  <si>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</si>
  <si>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</si>
  <si>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</si>
  <si>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</si>
  <si>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</si>
  <si>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</si>
  <si>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</si>
  <si>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</si>
  <si>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</si>
  <si>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</si>
  <si>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</si>
  <si>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</si>
  <si>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</si>
  <si>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</si>
  <si>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</si>
  <si>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</si>
  <si>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</si>
  <si>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</si>
  <si>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</si>
  <si>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</si>
  <si>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</si>
  <si>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</si>
  <si>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</si>
  <si>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</si>
  <si>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</si>
  <si>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</si>
  <si>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</si>
  <si>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</si>
  <si>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</si>
  <si>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</si>
  <si>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</si>
  <si>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</si>
  <si>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</si>
  <si>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</si>
  <si>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</si>
  <si>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</si>
  <si>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</si>
  <si>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</si>
  <si>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</si>
  <si>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</si>
  <si>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</si>
  <si>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</si>
  <si>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</si>
  <si>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</si>
  <si>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</si>
  <si>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</si>
  <si>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</si>
  <si>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</si>
  <si>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</si>
  <si>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</si>
  <si>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</si>
  <si>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</si>
  <si>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</si>
  <si>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</si>
  <si>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</si>
  <si>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</si>
  <si>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</si>
  <si>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</si>
  <si>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</si>
  <si>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</si>
  <si>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</si>
  <si>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</si>
  <si>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</si>
  <si>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</si>
  <si>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</si>
  <si>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</si>
  <si>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</si>
  <si>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</si>
  <si>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</si>
  <si>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</si>
  <si>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</si>
  <si>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</si>
  <si>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</si>
  <si>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</si>
  <si>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</si>
  <si>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</si>
  <si>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</si>
  <si>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</si>
  <si>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</si>
  <si>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</si>
  <si>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</si>
  <si>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</si>
  <si>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</si>
  <si>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</si>
  <si>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</si>
  <si>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</si>
  <si>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</si>
  <si>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</si>
  <si>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</si>
  <si>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</si>
  <si>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</si>
  <si>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</si>
  <si>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</si>
  <si>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</si>
  <si>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</si>
  <si>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</si>
  <si>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</si>
  <si>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</si>
  <si>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</si>
  <si>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</si>
  <si>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</si>
  <si>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</si>
  <si>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</si>
  <si>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</si>
  <si>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</si>
  <si>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</si>
  <si>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</si>
  <si>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</si>
  <si>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</si>
  <si>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</si>
  <si>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</si>
  <si>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</si>
  <si>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</si>
  <si>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</si>
  <si>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</si>
  <si>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</si>
  <si>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</si>
  <si>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</si>
  <si>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</si>
  <si>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</si>
  <si>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</si>
  <si>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</si>
  <si>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</si>
  <si>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</si>
  <si>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</si>
  <si>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</si>
  <si>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</si>
  <si>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</si>
  <si>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</si>
  <si>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</si>
  <si>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</si>
  <si>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</si>
  <si>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</si>
  <si>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</si>
  <si>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</si>
  <si>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</si>
  <si>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</si>
  <si>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</si>
  <si>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</si>
  <si>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</si>
  <si>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</si>
  <si>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</si>
  <si>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</si>
  <si>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</si>
  <si>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</si>
  <si>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</si>
  <si>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</si>
  <si>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</si>
  <si>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</si>
  <si>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</si>
  <si>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</si>
  <si>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</si>
  <si>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</si>
  <si>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</si>
  <si>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</si>
  <si>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</si>
  <si>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</si>
  <si>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</si>
  <si>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</si>
  <si>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</si>
  <si>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</si>
  <si>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</si>
  <si>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</si>
  <si>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</si>
  <si>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</si>
  <si>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</si>
  <si>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</si>
  <si>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</si>
  <si>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</si>
  <si>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</si>
  <si>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</si>
  <si>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</si>
  <si>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</si>
  <si>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</si>
  <si>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</si>
  <si>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</si>
  <si>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</si>
  <si>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</si>
  <si>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</si>
  <si>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</si>
  <si>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</si>
  <si>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</si>
  <si>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</si>
  <si>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</si>
  <si>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</si>
  <si>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</si>
  <si>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</si>
  <si>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</si>
  <si>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</si>
  <si>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</si>
  <si>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</si>
  <si>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</si>
  <si>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</si>
  <si>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</si>
  <si>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</si>
  <si>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</si>
  <si>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</si>
  <si>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</si>
  <si>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</si>
  <si>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</si>
  <si>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</si>
  <si>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</si>
  <si>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</si>
  <si>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</si>
  <si>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</si>
  <si>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</si>
  <si>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</si>
  <si>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</si>
  <si>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</si>
  <si>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</si>
  <si>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</si>
  <si>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</si>
  <si>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</si>
  <si>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</si>
  <si>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</si>
  <si>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</si>
  <si>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</si>
  <si>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</si>
  <si>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</si>
  <si>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</si>
  <si>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</si>
  <si>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</si>
  <si>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</si>
  <si>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</si>
  <si>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</si>
  <si>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</si>
  <si>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</si>
  <si>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</si>
  <si>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</si>
  <si>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</si>
  <si>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</si>
  <si>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</si>
  <si>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</si>
  <si>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</si>
  <si>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</si>
  <si>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</si>
  <si>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</si>
  <si>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</si>
  <si>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</si>
  <si>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</si>
  <si>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</si>
  <si>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</si>
  <si>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</si>
  <si>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</si>
  <si>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</si>
  <si>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</si>
  <si>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</si>
  <si>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</si>
  <si>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</si>
  <si>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</si>
  <si>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</si>
  <si>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</si>
  <si>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</si>
  <si>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</si>
  <si>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</si>
  <si>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</si>
  <si>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</si>
  <si>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</si>
  <si>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</si>
  <si>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</si>
  <si>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</si>
  <si>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</si>
  <si>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</si>
  <si>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</si>
  <si>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</si>
  <si>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</si>
  <si>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</si>
  <si>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</si>
  <si>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</si>
  <si>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</si>
  <si>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</si>
  <si>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</si>
  <si>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</si>
  <si>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</si>
  <si>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</si>
  <si>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</si>
  <si>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</si>
  <si>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</si>
  <si>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</si>
  <si>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</si>
  <si>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</si>
  <si>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</si>
  <si>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</si>
  <si>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</si>
  <si>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</si>
  <si>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</si>
  <si>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</si>
  <si>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</si>
  <si>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</si>
  <si>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</si>
  <si>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</si>
  <si>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</si>
  <si>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</si>
  <si>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</si>
  <si>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</si>
  <si>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</si>
  <si>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</si>
  <si>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</si>
  <si>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</si>
  <si>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</si>
  <si>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</si>
  <si>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</si>
  <si>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</si>
  <si>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</si>
  <si>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</si>
  <si>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</si>
  <si>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</si>
  <si>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</si>
  <si>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</si>
  <si>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</si>
  <si>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</si>
  <si>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</si>
  <si>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</si>
  <si>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</si>
  <si>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</si>
  <si>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</si>
  <si>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</si>
  <si>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</si>
  <si>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</si>
  <si>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</si>
  <si>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</si>
  <si>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</si>
  <si>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</si>
  <si>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</si>
  <si>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</si>
  <si>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</si>
  <si>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</si>
  <si>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</si>
  <si>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</si>
  <si>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</si>
  <si>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</si>
  <si>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</si>
  <si>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</si>
  <si>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</si>
  <si>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</si>
  <si>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</si>
  <si>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</si>
  <si>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</si>
  <si>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</si>
  <si>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</si>
  <si>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</si>
  <si>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</si>
  <si>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</si>
  <si>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</si>
  <si>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</si>
  <si>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</si>
  <si>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</si>
  <si>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</si>
  <si>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</si>
  <si>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</si>
  <si>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</si>
  <si>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</si>
  <si>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</si>
  <si>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</si>
  <si>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</si>
  <si>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</si>
  <si>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</si>
  <si>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</si>
  <si>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</si>
  <si>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</si>
  <si>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</si>
  <si>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</si>
  <si>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</si>
  <si>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</si>
  <si>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</si>
  <si>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</si>
  <si>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</si>
  <si>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</si>
  <si>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</si>
  <si>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</si>
  <si>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</si>
  <si>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</si>
  <si>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</si>
  <si>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</si>
  <si>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</si>
  <si>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</si>
  <si>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</si>
  <si>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</si>
  <si>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</si>
  <si>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</si>
  <si>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</si>
  <si>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</si>
  <si>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</si>
  <si>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</si>
  <si>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</si>
  <si>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</si>
  <si>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</si>
  <si>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</si>
  <si>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</si>
  <si>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</si>
  <si>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</si>
  <si>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</si>
  <si>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</si>
  <si>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</si>
  <si>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</si>
  <si>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</si>
  <si>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</si>
  <si>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</si>
  <si>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</si>
  <si>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</si>
  <si>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</si>
  <si>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</si>
  <si>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</si>
  <si>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</si>
  <si>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</si>
  <si>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</si>
  <si>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</si>
  <si>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</si>
  <si>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</si>
  <si>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</si>
  <si>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</si>
  <si>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</si>
  <si>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</si>
  <si>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</si>
  <si>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</si>
  <si>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</si>
  <si>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</si>
  <si>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</si>
  <si>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</si>
  <si>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</si>
  <si>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</si>
  <si>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</si>
  <si>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</si>
  <si>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</si>
  <si>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</si>
  <si>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</si>
  <si>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</si>
  <si>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</si>
  <si>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</si>
  <si>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</si>
  <si>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</si>
  <si>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</si>
  <si>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</si>
  <si>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</si>
  <si>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</si>
  <si>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</si>
  <si>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</si>
  <si>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</si>
  <si>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</si>
  <si>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</si>
  <si>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</si>
  <si>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</si>
  <si>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</si>
  <si>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</si>
  <si>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</si>
  <si>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</si>
  <si>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</si>
  <si>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</si>
  <si>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</si>
  <si>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</si>
  <si>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</si>
  <si>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</si>
  <si>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</si>
  <si>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</si>
  <si>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</si>
  <si>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</si>
  <si>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</si>
  <si>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</si>
  <si>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</si>
  <si>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</si>
  <si>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</si>
  <si>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</si>
  <si>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</si>
  <si>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</si>
  <si>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</si>
  <si>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</si>
  <si>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</si>
  <si>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</si>
  <si>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</si>
  <si>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</si>
  <si>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</si>
  <si>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</si>
  <si>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</si>
  <si>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</si>
  <si>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</si>
  <si>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</si>
  <si>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</si>
  <si>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</si>
  <si>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</si>
  <si>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</si>
  <si>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</si>
  <si>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</si>
  <si>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</si>
  <si>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</si>
  <si>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</si>
  <si>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</si>
  <si>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</si>
  <si>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</si>
  <si>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</si>
  <si>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</si>
  <si>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</si>
  <si>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</si>
  <si>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</si>
  <si>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</si>
  <si>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</si>
  <si>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</si>
  <si>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</si>
  <si>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</si>
  <si>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</si>
  <si>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</si>
  <si>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</si>
  <si>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</si>
  <si>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</si>
  <si>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</si>
  <si>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</si>
  <si>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</si>
  <si>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</si>
  <si>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</si>
  <si>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</si>
  <si>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</si>
  <si>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</si>
  <si>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</si>
  <si>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</si>
  <si>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</si>
  <si>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</si>
  <si>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</si>
  <si>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</si>
  <si>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</si>
  <si>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</si>
  <si>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</si>
  <si>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</si>
  <si>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</si>
  <si>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</si>
  <si>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</si>
  <si>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</si>
  <si>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</si>
  <si>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</si>
  <si>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</si>
  <si>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</si>
  <si>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</si>
  <si>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</si>
  <si>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</si>
  <si>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</si>
  <si>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</si>
  <si>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</si>
  <si>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</si>
  <si>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</si>
  <si>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</si>
  <si>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</si>
  <si>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</si>
  <si>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</si>
  <si>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</si>
  <si>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</si>
  <si>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</si>
  <si>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</si>
  <si>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</si>
  <si>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</si>
  <si>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</si>
  <si>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</si>
  <si>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</si>
  <si>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</si>
  <si>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</si>
  <si>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</si>
  <si>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</si>
  <si>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</si>
  <si>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</si>
  <si>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</si>
  <si>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</si>
  <si>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</si>
  <si>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</si>
  <si>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</si>
  <si>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</si>
  <si>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</si>
  <si>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</si>
  <si>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</si>
  <si>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</si>
  <si>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</si>
  <si>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</si>
  <si>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</si>
  <si>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</si>
  <si>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</si>
  <si>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</si>
  <si>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</si>
  <si>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</si>
  <si>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</si>
  <si>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</si>
  <si>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</si>
  <si>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</si>
  <si>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</si>
  <si>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</si>
  <si>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</si>
  <si>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</si>
  <si>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</si>
  <si>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</si>
  <si>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</si>
  <si>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</si>
  <si>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</si>
  <si>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</si>
  <si>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</si>
  <si>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</si>
  <si>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</si>
  <si>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</si>
  <si>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</si>
  <si>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</si>
  <si>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</si>
  <si>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</si>
  <si>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</si>
  <si>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</si>
  <si>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</si>
  <si>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</si>
  <si>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</si>
  <si>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</si>
  <si>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</si>
  <si>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</si>
  <si>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</si>
  <si>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</si>
  <si>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</si>
  <si>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</si>
  <si>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</si>
  <si>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</si>
  <si>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</si>
  <si>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</si>
  <si>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</si>
  <si>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</si>
  <si>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</si>
  <si>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</si>
  <si>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</si>
  <si>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</si>
  <si>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</si>
  <si>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</si>
  <si>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</si>
  <si>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</si>
  <si>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</si>
  <si>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</si>
  <si>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</si>
  <si>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</si>
  <si>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</si>
  <si>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</si>
  <si>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</si>
  <si>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</si>
  <si>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</si>
  <si>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</si>
  <si>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</si>
  <si>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</si>
  <si>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</si>
  <si>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</si>
  <si>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</si>
  <si>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</si>
  <si>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</si>
  <si>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</si>
  <si>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</si>
  <si>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</si>
  <si>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</si>
  <si>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</si>
  <si>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</si>
  <si>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</si>
  <si>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</si>
  <si>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</si>
  <si>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</si>
  <si>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</si>
  <si>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</si>
  <si>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</si>
  <si>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</si>
  <si>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</si>
  <si>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</si>
  <si>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</si>
  <si>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</si>
  <si>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</si>
  <si>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</si>
  <si>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</si>
  <si>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</si>
  <si>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</si>
  <si>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</si>
  <si>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</si>
  <si>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</si>
  <si>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</si>
  <si>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</si>
  <si>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</si>
  <si>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</si>
  <si>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</si>
  <si>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</si>
  <si>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</si>
  <si>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</si>
  <si>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</si>
  <si>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</si>
  <si>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</si>
  <si>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</si>
  <si>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</si>
  <si>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</si>
  <si>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</si>
  <si>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</si>
  <si>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</si>
  <si>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</si>
  <si>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</si>
  <si>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</si>
  <si>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</si>
  <si>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</si>
  <si>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</si>
  <si>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</si>
  <si>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</si>
  <si>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</si>
  <si>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</si>
  <si>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</si>
  <si>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</si>
  <si>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</si>
  <si>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</si>
  <si>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</si>
  <si>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</si>
  <si>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</si>
  <si>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</si>
  <si>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</si>
  <si>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</si>
  <si>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</si>
  <si>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</si>
  <si>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</si>
  <si>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</si>
  <si>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</si>
  <si>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</si>
  <si>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</si>
  <si>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</si>
  <si>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</si>
  <si>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</si>
  <si>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</si>
  <si>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</si>
  <si>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</si>
  <si>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</si>
  <si>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</si>
  <si>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</si>
  <si>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</si>
  <si>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</si>
  <si>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</si>
  <si>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</si>
  <si>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</si>
  <si>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</si>
  <si>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</si>
  <si>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</si>
  <si>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</si>
  <si>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</si>
  <si>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</si>
  <si>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</si>
  <si>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</si>
  <si>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</si>
  <si>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</si>
  <si>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</si>
  <si>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</si>
  <si>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</si>
  <si>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</si>
  <si>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</si>
  <si>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</si>
  <si>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</si>
  <si>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</si>
  <si>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</si>
  <si>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</si>
  <si>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</si>
  <si>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</si>
  <si>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</si>
  <si>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</si>
  <si>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</si>
  <si>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</si>
  <si>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</si>
  <si>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</si>
  <si>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</si>
  <si>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</si>
  <si>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</si>
  <si>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</si>
  <si>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</si>
  <si>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</si>
  <si>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</si>
  <si>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</si>
  <si>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</si>
  <si>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</si>
  <si>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</si>
  <si>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</si>
  <si>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</si>
  <si>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</si>
  <si>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</si>
  <si>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</si>
  <si>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</si>
  <si>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</si>
  <si>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</si>
  <si>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</si>
  <si>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</si>
  <si>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</si>
  <si>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</si>
  <si>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</si>
  <si>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</si>
  <si>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</si>
  <si>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</si>
  <si>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</si>
  <si>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</si>
  <si>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</si>
  <si>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</si>
  <si>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</si>
  <si>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</si>
  <si>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</si>
  <si>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</si>
  <si>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</si>
  <si>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</si>
  <si>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</si>
  <si>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</si>
  <si>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</si>
  <si>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</si>
  <si>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</si>
  <si>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</si>
  <si>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</si>
  <si>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</si>
  <si>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</si>
  <si>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</si>
  <si>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</si>
  <si>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</si>
  <si>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</si>
  <si>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</si>
  <si>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</si>
  <si>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</si>
  <si>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</si>
  <si>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</si>
  <si>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</si>
  <si>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</si>
  <si>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</si>
  <si>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</si>
  <si>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</si>
  <si>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</si>
  <si>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</si>
  <si>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</si>
  <si>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</si>
  <si>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</si>
  <si>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</si>
  <si>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</si>
  <si>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</si>
  <si>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</si>
  <si>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</si>
  <si>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</si>
  <si>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</si>
  <si>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</si>
  <si>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</si>
  <si>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</si>
  <si>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</si>
  <si>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</si>
  <si>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</si>
  <si>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</si>
  <si>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</si>
  <si>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</si>
  <si>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</si>
  <si>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</si>
  <si>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</si>
  <si>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</si>
  <si>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</si>
  <si>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</si>
  <si>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</si>
  <si>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</si>
  <si>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</si>
  <si>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</si>
  <si>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</si>
  <si>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</si>
  <si>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</si>
  <si>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</si>
  <si>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</si>
  <si>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</si>
  <si>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</si>
  <si>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</si>
  <si>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</si>
  <si>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</si>
  <si>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</si>
  <si>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</si>
  <si>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</si>
  <si>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</si>
  <si>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</si>
  <si>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</si>
  <si>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</si>
  <si>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</si>
  <si>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</si>
  <si>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</si>
  <si>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</si>
  <si>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</si>
  <si>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</si>
  <si>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</si>
  <si>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</si>
  <si>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</si>
  <si>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</si>
  <si>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</si>
  <si>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</si>
  <si>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</si>
  <si>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</si>
  <si>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</si>
  <si>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</si>
  <si>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</si>
  <si>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</si>
  <si>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</si>
  <si>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</si>
  <si>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</si>
  <si>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</si>
  <si>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</si>
  <si>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</si>
  <si>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</si>
  <si>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</si>
  <si>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</si>
  <si>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</si>
  <si>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</si>
  <si>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</si>
  <si>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</si>
  <si>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</si>
  <si>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</si>
  <si>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</si>
  <si>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</si>
  <si>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</si>
  <si>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</si>
  <si>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</si>
  <si>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</si>
  <si>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</si>
  <si>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</si>
  <si>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</si>
  <si>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</si>
  <si>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</si>
  <si>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</si>
  <si>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</si>
  <si>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</si>
  <si>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</si>
  <si>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</si>
  <si>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</si>
  <si>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</si>
  <si>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</si>
  <si>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</si>
  <si>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</si>
  <si>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</si>
  <si>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</si>
  <si>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</si>
  <si>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</si>
  <si>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</si>
  <si>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</si>
  <si>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</si>
  <si>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</si>
  <si>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</si>
  <si>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</si>
  <si>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</si>
  <si>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</si>
  <si>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</si>
  <si>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</si>
  <si>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</si>
  <si>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</si>
  <si>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</si>
  <si>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</si>
  <si>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</si>
  <si>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</si>
  <si>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</si>
  <si>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</si>
  <si>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</si>
  <si>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</si>
  <si>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</si>
  <si>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</si>
  <si>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</si>
  <si>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</si>
  <si>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</si>
  <si>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</si>
  <si>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</si>
  <si>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</si>
  <si>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</si>
  <si>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</si>
  <si>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</si>
  <si>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</si>
  <si>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</si>
  <si>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</si>
  <si>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</si>
  <si>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</si>
  <si>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</si>
  <si>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</si>
  <si>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</si>
  <si>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</si>
  <si>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</si>
  <si>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</si>
  <si>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</si>
  <si>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</si>
  <si>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</si>
  <si>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</si>
  <si>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</si>
  <si>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</si>
  <si>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</si>
  <si>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</si>
  <si>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</si>
  <si>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</si>
  <si>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</si>
  <si>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</si>
  <si>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</si>
  <si>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</si>
  <si>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</si>
  <si>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</si>
  <si>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</si>
  <si>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</si>
  <si>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</si>
  <si>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</si>
  <si>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</si>
  <si>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</si>
  <si>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</si>
  <si>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</si>
  <si>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</si>
  <si>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</si>
  <si>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</si>
  <si>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</si>
  <si>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</si>
  <si>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</si>
  <si>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</si>
  <si>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</si>
  <si>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</si>
  <si>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</si>
  <si>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</si>
  <si>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</si>
  <si>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</si>
  <si>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</si>
  <si>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</si>
  <si>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</si>
  <si>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</si>
  <si>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</si>
  <si>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</si>
  <si>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</si>
  <si>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</si>
  <si>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</si>
  <si>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</si>
  <si>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</si>
  <si>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</si>
  <si>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</si>
  <si>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</si>
  <si>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</si>
  <si>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</si>
  <si>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</si>
  <si>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</si>
  <si>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</si>
  <si>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</si>
  <si>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</si>
  <si>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</si>
  <si>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</si>
  <si>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</si>
  <si>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</si>
  <si>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</si>
  <si>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</si>
  <si>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</si>
  <si>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</si>
  <si>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</si>
  <si>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</si>
  <si>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</si>
  <si>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</si>
  <si>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</si>
  <si>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</si>
  <si>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</si>
  <si>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</si>
  <si>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</si>
  <si>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</si>
  <si>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</si>
  <si>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</si>
  <si>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</si>
  <si>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</si>
  <si>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</si>
  <si>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</si>
  <si>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</si>
  <si>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</si>
  <si>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</si>
  <si>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</si>
  <si>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</si>
  <si>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</si>
  <si>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</si>
  <si>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</si>
  <si>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</si>
  <si>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</si>
  <si>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</si>
  <si>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</si>
  <si>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</si>
  <si>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</si>
  <si>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</si>
  <si>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</si>
  <si>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</si>
  <si>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</si>
  <si>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</si>
  <si>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</si>
  <si>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</si>
  <si>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</si>
  <si>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</si>
  <si>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</si>
  <si>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</si>
  <si>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</si>
  <si>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</si>
  <si>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</si>
  <si>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</si>
  <si>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</si>
  <si>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</si>
  <si>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</si>
  <si>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</si>
  <si>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</si>
  <si>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</si>
  <si>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</si>
  <si>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</si>
  <si>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</si>
  <si>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</si>
  <si>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</si>
  <si>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</si>
  <si>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</si>
  <si>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</si>
  <si>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</si>
  <si>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</si>
  <si>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</si>
  <si>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</si>
  <si>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</si>
  <si>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</si>
  <si>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</si>
  <si>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</si>
  <si>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</si>
  <si>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</si>
  <si>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</si>
  <si>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</si>
  <si>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</si>
  <si>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</si>
  <si>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</si>
  <si>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</si>
  <si>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</si>
  <si>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</si>
  <si>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</si>
  <si>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</si>
  <si>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</si>
  <si>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</si>
  <si>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</si>
  <si>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</si>
  <si>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</si>
  <si>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</si>
  <si>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</si>
  <si>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</si>
  <si>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</si>
  <si>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</si>
  <si>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</si>
  <si>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</si>
  <si>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</si>
  <si>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</si>
  <si>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</si>
  <si>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</si>
  <si>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</si>
  <si>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</si>
  <si>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</si>
  <si>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</si>
  <si>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</si>
  <si>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</si>
  <si>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</si>
  <si>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</si>
  <si>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</si>
  <si>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</si>
  <si>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</si>
  <si>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</si>
  <si>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</si>
  <si>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</si>
  <si>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</si>
  <si>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</si>
  <si>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</si>
  <si>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</si>
  <si>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</si>
  <si>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</si>
  <si>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</si>
  <si>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</si>
  <si>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</si>
  <si>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</si>
  <si>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</si>
  <si>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</si>
  <si>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</si>
  <si>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</si>
  <si>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</si>
  <si>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</si>
  <si>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</si>
  <si>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</si>
  <si>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</si>
  <si>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</si>
  <si>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</si>
  <si>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</si>
  <si>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</si>
  <si>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</si>
  <si>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</si>
  <si>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</si>
  <si>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</si>
  <si>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</si>
  <si>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</si>
  <si>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</si>
  <si>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</si>
  <si>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</si>
  <si>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</si>
  <si>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</si>
  <si>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</si>
  <si>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</si>
  <si>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</si>
  <si>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</si>
  <si>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</si>
  <si>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</si>
  <si>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</si>
  <si>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</si>
  <si>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</si>
  <si>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</si>
  <si>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</si>
  <si>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</si>
  <si>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</si>
  <si>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</si>
  <si>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</si>
  <si>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</si>
  <si>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</si>
  <si>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</si>
  <si>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</si>
  <si>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</si>
  <si>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</si>
  <si>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</si>
  <si>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</si>
  <si>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</si>
  <si>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</si>
  <si>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</si>
  <si>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</si>
  <si>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</si>
  <si>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</si>
  <si>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</si>
  <si>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</si>
  <si>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</si>
  <si>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</si>
  <si>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</si>
  <si>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</si>
  <si>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</si>
  <si>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</si>
  <si>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</si>
  <si>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</si>
  <si>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</si>
  <si>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</si>
  <si>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</si>
  <si>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</si>
  <si>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</si>
  <si>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</si>
  <si>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</si>
  <si>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</si>
  <si>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</si>
  <si>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</si>
  <si>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</si>
  <si>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</si>
  <si>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</si>
  <si>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</si>
  <si>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</si>
  <si>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</si>
  <si>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</si>
  <si>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</si>
  <si>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</si>
  <si>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</si>
  <si>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</si>
  <si>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</si>
  <si>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</si>
  <si>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</si>
  <si>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</si>
  <si>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</si>
  <si>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</si>
  <si>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</si>
  <si>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</si>
  <si>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</si>
  <si>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</si>
  <si>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</si>
  <si>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</si>
  <si>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</si>
  <si>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</si>
  <si>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</si>
  <si>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</si>
  <si>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</si>
  <si>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</si>
  <si>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</si>
  <si>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</si>
  <si>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</si>
  <si>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</si>
  <si>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</si>
  <si>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</si>
  <si>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</si>
  <si>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</si>
  <si>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</si>
  <si>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</si>
  <si>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</si>
  <si>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</si>
  <si>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</si>
  <si>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</si>
  <si>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</si>
  <si>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</si>
  <si>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</si>
  <si>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</si>
  <si>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</si>
  <si>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</si>
  <si>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</si>
  <si>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</si>
  <si>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</si>
  <si>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</si>
  <si>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</si>
  <si>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</si>
  <si>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</si>
  <si>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</si>
  <si>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</si>
  <si>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</si>
  <si>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</si>
  <si>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</si>
  <si>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</si>
  <si>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</si>
  <si>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</si>
  <si>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</si>
  <si>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</si>
  <si>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</si>
  <si>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</si>
  <si>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</si>
  <si>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</si>
  <si>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</si>
  <si>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</si>
  <si>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</si>
  <si>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</si>
  <si>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</si>
  <si>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</si>
  <si>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</si>
  <si>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</si>
  <si>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</si>
  <si>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</si>
  <si>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</si>
  <si>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</si>
  <si>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</si>
  <si>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</si>
  <si>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</si>
  <si>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</si>
  <si>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</si>
  <si>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</si>
  <si>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</si>
  <si>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</si>
  <si>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</si>
  <si>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</si>
  <si>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</si>
  <si>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</si>
  <si>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</si>
  <si>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</si>
  <si>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</si>
  <si>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</si>
  <si>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</si>
  <si>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</si>
  <si>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</si>
  <si>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</si>
  <si>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</si>
  <si>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</si>
  <si>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</si>
  <si>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</si>
  <si>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</si>
  <si>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</si>
  <si>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</si>
  <si>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</si>
  <si>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</si>
  <si>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</si>
  <si>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</si>
  <si>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</si>
  <si>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</si>
  <si>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</si>
  <si>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</si>
  <si>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</si>
  <si>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</si>
  <si>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</si>
  <si>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</si>
  <si>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</si>
  <si>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</si>
  <si>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</si>
  <si>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</si>
  <si>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</si>
  <si>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</si>
  <si>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</si>
  <si>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</si>
  <si>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</si>
  <si>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</si>
  <si>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</si>
  <si>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</si>
  <si>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</si>
  <si>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</si>
  <si>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</si>
  <si>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</si>
  <si>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</si>
  <si>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</si>
  <si>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</si>
  <si>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</si>
  <si>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</si>
  <si>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</si>
  <si>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</si>
  <si>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</si>
  <si>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</si>
  <si>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</si>
  <si>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</si>
  <si>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</si>
  <si>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</si>
  <si>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</si>
  <si>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</si>
  <si>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</si>
  <si>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</si>
  <si>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</si>
  <si>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</si>
  <si>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</si>
  <si>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</si>
  <si>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</si>
  <si>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</si>
  <si>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</si>
  <si>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</si>
  <si>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</si>
  <si>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</si>
  <si>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</si>
  <si>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</si>
  <si>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</si>
  <si>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</si>
  <si>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</si>
  <si>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</si>
  <si>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</si>
  <si>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</si>
  <si>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</si>
  <si>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</si>
  <si>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</si>
  <si>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</si>
  <si>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</si>
  <si>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</si>
  <si>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</si>
  <si>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</si>
  <si>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</si>
  <si>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</si>
  <si>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</si>
  <si>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</si>
  <si>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</si>
  <si>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</si>
  <si>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</si>
  <si>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</si>
  <si>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</si>
  <si>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</si>
  <si>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</si>
  <si>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</si>
  <si>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</si>
  <si>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</si>
  <si>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</si>
  <si>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</si>
  <si>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</si>
  <si>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</si>
  <si>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</si>
  <si>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</si>
  <si>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</si>
  <si>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</si>
  <si>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</si>
  <si>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</si>
  <si>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</si>
  <si>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</si>
  <si>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</si>
  <si>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</si>
  <si>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</si>
  <si>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</si>
  <si>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</si>
  <si>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</si>
  <si>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</si>
  <si>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</si>
  <si>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</si>
  <si>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</si>
  <si>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</si>
  <si>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</si>
  <si>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</si>
  <si>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</si>
  <si>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</si>
  <si>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</si>
  <si>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</si>
  <si>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</si>
  <si>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</si>
  <si>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</si>
  <si>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</si>
  <si>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</si>
  <si>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</si>
  <si>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</si>
  <si>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</si>
  <si>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</si>
  <si>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</si>
  <si>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</si>
  <si>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</si>
  <si>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</si>
  <si>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</si>
  <si>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</si>
  <si>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</si>
  <si>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</si>
  <si>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</si>
  <si>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</si>
  <si>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</si>
  <si>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</si>
  <si>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</si>
  <si>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</si>
  <si>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</si>
  <si>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</si>
  <si>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</si>
  <si>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</si>
  <si>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</si>
  <si>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</si>
  <si>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</si>
  <si>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</si>
  <si>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</si>
  <si>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</si>
  <si>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</si>
  <si>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</si>
  <si>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</si>
  <si>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</si>
  <si>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</si>
  <si>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</si>
  <si>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</si>
  <si>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</si>
  <si>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</si>
  <si>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</si>
  <si>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</si>
  <si>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</si>
  <si>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</si>
  <si>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</si>
  <si>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</si>
  <si>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</si>
  <si>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</si>
  <si>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</si>
  <si>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</si>
  <si>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</si>
  <si>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</si>
  <si>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</si>
  <si>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</si>
  <si>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</si>
  <si>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</si>
  <si>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</si>
  <si>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</si>
  <si>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</si>
  <si>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</si>
  <si>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</si>
  <si>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</si>
  <si>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</si>
  <si>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</si>
  <si>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</si>
  <si>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</si>
  <si>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</si>
  <si>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</si>
  <si>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</si>
  <si>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</si>
  <si>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</si>
  <si>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</si>
  <si>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</si>
  <si>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</si>
  <si>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</si>
  <si>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</si>
  <si>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</si>
  <si>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</si>
  <si>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</si>
  <si>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</si>
  <si>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</si>
  <si>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</si>
  <si>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</si>
  <si>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</si>
  <si>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</si>
  <si>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</si>
  <si>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</si>
  <si>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</si>
  <si>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</si>
  <si>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</si>
  <si>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</si>
  <si>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</si>
  <si>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</si>
  <si>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</si>
  <si>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</si>
  <si>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</si>
  <si>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</si>
  <si>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</si>
  <si>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</si>
  <si>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</si>
  <si>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</si>
  <si>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</si>
  <si>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</si>
  <si>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</si>
  <si>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</si>
  <si>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</si>
  <si>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</si>
  <si>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</si>
  <si>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</si>
  <si>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</si>
  <si>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</si>
  <si>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</si>
  <si>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</si>
  <si>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</si>
  <si>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</si>
  <si>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</si>
  <si>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</si>
  <si>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</si>
  <si>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</si>
  <si>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</si>
  <si>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</si>
  <si>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</si>
  <si>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</si>
  <si>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</si>
  <si>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</si>
  <si>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</si>
  <si>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</si>
  <si>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</si>
  <si>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</si>
  <si>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</si>
  <si>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</si>
  <si>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</si>
  <si>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</si>
  <si>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</si>
  <si>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</si>
  <si>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</si>
  <si>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</si>
  <si>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</si>
  <si>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</si>
  <si>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</si>
  <si>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</si>
  <si>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</si>
  <si>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</si>
  <si>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</si>
  <si>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</si>
  <si>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</si>
  <si>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</si>
  <si>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</si>
  <si>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</si>
  <si>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</si>
  <si>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</si>
  <si>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</si>
  <si>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</si>
  <si>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</si>
  <si>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</si>
  <si>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</si>
  <si>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</si>
  <si>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</si>
  <si>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</si>
  <si>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</si>
  <si>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</si>
  <si>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</si>
  <si>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</si>
  <si>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</si>
  <si>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</si>
  <si>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</si>
  <si>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</si>
  <si>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</si>
  <si>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</si>
  <si>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</si>
  <si>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</si>
  <si>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</si>
  <si>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</si>
  <si>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</si>
  <si>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</si>
  <si>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</si>
  <si>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</si>
  <si>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</si>
  <si>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</si>
  <si>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</si>
  <si>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</si>
  <si>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</si>
  <si>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</si>
  <si>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</si>
  <si>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</si>
  <si>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</si>
  <si>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</si>
  <si>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</si>
  <si>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</si>
  <si>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</si>
  <si>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</si>
  <si>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</si>
  <si>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</si>
  <si>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</si>
  <si>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</si>
  <si>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</si>
  <si>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</si>
  <si>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</si>
  <si>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</si>
  <si>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</si>
  <si>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</si>
  <si>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</si>
  <si>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</si>
  <si>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</si>
  <si>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</si>
  <si>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</si>
  <si>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</si>
  <si>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</si>
  <si>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</si>
  <si>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</si>
  <si>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</si>
  <si>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</si>
  <si>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</si>
  <si>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</si>
  <si>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</si>
  <si>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</si>
  <si>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</si>
  <si>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</si>
  <si>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</si>
  <si>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</si>
  <si>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</si>
  <si>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</si>
  <si>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</si>
  <si>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</si>
  <si>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</si>
  <si>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</si>
  <si>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</si>
  <si>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</si>
  <si>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</si>
  <si>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</si>
  <si>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</si>
  <si>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</si>
  <si>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</si>
  <si>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</si>
  <si>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</si>
  <si>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</si>
  <si>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</si>
  <si>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</si>
  <si>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</si>
  <si>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</si>
  <si>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</si>
  <si>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</si>
  <si>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</si>
  <si>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</si>
  <si>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</si>
  <si>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</si>
  <si>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</si>
  <si>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</si>
  <si>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</si>
  <si>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</si>
  <si>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</si>
  <si>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</si>
  <si>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</si>
  <si>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</si>
  <si>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</si>
  <si>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</si>
  <si>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</si>
  <si>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</si>
  <si>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</si>
  <si>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</si>
  <si>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</si>
  <si>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</si>
  <si>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</si>
  <si>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</si>
  <si>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</si>
  <si>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</si>
  <si>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</si>
  <si>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</si>
  <si>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</si>
  <si>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</si>
  <si>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</si>
  <si>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</si>
  <si>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</si>
  <si>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</si>
  <si>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</si>
  <si>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</si>
  <si>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</si>
  <si>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</si>
  <si>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</si>
  <si>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</si>
  <si>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</si>
  <si>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</si>
  <si>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</si>
  <si>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</si>
  <si>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</si>
  <si>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</si>
  <si>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</si>
  <si>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</si>
  <si>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</si>
  <si>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</si>
  <si>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</si>
  <si>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</si>
  <si>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</si>
  <si>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</si>
  <si>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</si>
  <si>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</si>
  <si>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</si>
  <si>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</si>
  <si>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</si>
  <si>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</si>
  <si>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</si>
  <si>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</si>
  <si>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</si>
  <si>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</si>
  <si>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</si>
  <si>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</si>
  <si>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</si>
  <si>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</si>
  <si>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</si>
  <si>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</si>
  <si>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</si>
  <si>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</si>
  <si>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</si>
  <si>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</si>
  <si>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</si>
  <si>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</si>
  <si>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</si>
  <si>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</si>
  <si>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</si>
  <si>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</si>
  <si>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</si>
  <si>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</si>
  <si>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</si>
  <si>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</si>
  <si>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</si>
  <si>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</si>
  <si>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</si>
  <si>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</si>
  <si>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</si>
  <si>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</si>
  <si>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</si>
  <si>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</si>
  <si>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</si>
  <si>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</si>
  <si>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</si>
  <si>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</si>
  <si>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</si>
  <si>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</si>
  <si>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</si>
  <si>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</si>
  <si>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</si>
  <si>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</si>
  <si>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</si>
  <si>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</si>
  <si>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</si>
  <si>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</si>
  <si>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</si>
  <si>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</si>
  <si>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</si>
  <si>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</si>
  <si>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</si>
  <si>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</si>
  <si>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</si>
  <si>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</si>
  <si>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</si>
  <si>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</si>
  <si>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</si>
  <si>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</si>
  <si>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</si>
  <si>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</si>
  <si>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</si>
  <si>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</si>
  <si>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</si>
  <si>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</si>
  <si>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</si>
  <si>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</si>
  <si>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</si>
  <si>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</si>
  <si>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</si>
  <si>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</si>
  <si>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</si>
  <si>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</si>
  <si>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</si>
  <si>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</si>
  <si>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</si>
  <si>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</si>
  <si>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</si>
  <si>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</si>
  <si>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</si>
  <si>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</si>
  <si>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</si>
  <si>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</si>
  <si>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</si>
  <si>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</si>
  <si>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</si>
  <si>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</si>
  <si>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</si>
  <si>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</si>
  <si>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</si>
  <si>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</si>
  <si>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</si>
  <si>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</si>
  <si>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</si>
  <si>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</si>
  <si>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</si>
  <si>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</si>
  <si>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</si>
  <si>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</si>
  <si>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</si>
  <si>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</si>
  <si>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</si>
  <si>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</si>
  <si>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</si>
  <si>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</si>
  <si>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</si>
  <si>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</si>
  <si>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</si>
  <si>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</si>
  <si>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</si>
  <si>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</si>
  <si>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</si>
  <si>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</si>
  <si>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</si>
  <si>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</si>
  <si>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</si>
  <si>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</si>
  <si>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</si>
  <si>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</si>
  <si>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</si>
  <si>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</si>
  <si>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</si>
  <si>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</si>
  <si>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</si>
  <si>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</si>
  <si>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</si>
  <si>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</si>
  <si>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</si>
  <si>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</si>
  <si>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</si>
  <si>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</si>
  <si>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</si>
  <si>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</si>
  <si>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</si>
  <si>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</si>
  <si>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</si>
  <si>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</si>
  <si>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</si>
  <si>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</si>
  <si>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</si>
  <si>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</si>
  <si>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</si>
  <si>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</si>
  <si>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</si>
  <si>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</si>
  <si>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</si>
  <si>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</si>
  <si>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</si>
  <si>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</si>
  <si>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</si>
  <si>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</si>
  <si>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</si>
  <si>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</si>
  <si>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</si>
  <si>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</si>
  <si>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</si>
  <si>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</si>
  <si>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</si>
  <si>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</si>
  <si>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</si>
  <si>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</si>
  <si>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</si>
  <si>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</si>
  <si>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</si>
  <si>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</si>
  <si>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</si>
  <si>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</si>
  <si>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</si>
  <si>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</si>
  <si>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</si>
  <si>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</si>
  <si>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</si>
  <si>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</si>
  <si>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</si>
  <si>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</si>
  <si>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</si>
  <si>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</si>
  <si>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</si>
  <si>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</si>
  <si>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</si>
  <si>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</si>
  <si>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</si>
  <si>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</si>
  <si>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</si>
  <si>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</si>
  <si>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</si>
  <si>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</si>
  <si>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</si>
  <si>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</si>
  <si>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</si>
  <si>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</si>
  <si>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</si>
  <si>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</si>
  <si>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</si>
  <si>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</si>
  <si>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</si>
  <si>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</si>
  <si>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</si>
  <si>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</si>
  <si>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</si>
  <si>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</si>
  <si>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</si>
  <si>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</si>
  <si>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</si>
  <si>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</si>
  <si>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</si>
  <si>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</si>
  <si>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</si>
  <si>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</si>
  <si>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</si>
  <si>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</si>
  <si>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</si>
  <si>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</si>
  <si>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</si>
  <si>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</si>
  <si>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</si>
  <si>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</si>
  <si>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</si>
  <si>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</si>
  <si>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</si>
  <si>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</si>
  <si>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</si>
  <si>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</si>
  <si>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</si>
  <si>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</si>
  <si>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</si>
  <si>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</si>
  <si>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</si>
  <si>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</si>
  <si>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</si>
  <si>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</si>
  <si>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</si>
  <si>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</si>
  <si>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</si>
  <si>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</si>
  <si>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</si>
  <si>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</si>
  <si>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</si>
  <si>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</si>
  <si>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</si>
  <si>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</si>
  <si>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</si>
  <si>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</si>
  <si>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</si>
  <si>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</si>
  <si>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</si>
  <si>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</si>
  <si>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</si>
  <si>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</si>
  <si>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</si>
  <si>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</si>
  <si>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</si>
  <si>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</si>
  <si>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</si>
  <si>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</si>
  <si>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</si>
  <si>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</si>
  <si>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</si>
  <si>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</si>
  <si>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</si>
  <si>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</si>
  <si>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</si>
  <si>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</si>
  <si>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</si>
  <si>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</si>
  <si>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</si>
  <si>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</si>
  <si>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</si>
  <si>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</si>
  <si>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</si>
  <si>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</si>
  <si>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</si>
  <si>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</si>
  <si>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</si>
  <si>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</si>
  <si>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</si>
  <si>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</si>
  <si>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</si>
  <si>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</si>
  <si>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</si>
  <si>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</si>
  <si>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</si>
  <si>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</si>
  <si>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</si>
  <si>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</si>
  <si>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</si>
  <si>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</si>
  <si>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</si>
  <si>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</si>
  <si>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</si>
  <si>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</si>
  <si>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</si>
  <si>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</si>
  <si>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</si>
  <si>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</si>
  <si>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</si>
  <si>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</si>
  <si>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</si>
  <si>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</si>
  <si>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</si>
  <si>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</si>
  <si>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</si>
  <si>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</si>
  <si>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</si>
  <si>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</si>
  <si>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</si>
  <si>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</si>
  <si>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</si>
  <si>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</si>
  <si>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</si>
  <si>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</si>
  <si>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</si>
  <si>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</si>
  <si>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</si>
  <si>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</si>
  <si>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</si>
  <si>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</si>
  <si>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</si>
  <si>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</si>
  <si>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</si>
  <si>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</si>
  <si>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</si>
  <si>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</si>
  <si>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</si>
  <si>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</si>
  <si>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</si>
  <si>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</si>
  <si>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</si>
  <si>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</si>
  <si>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</si>
  <si>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</si>
  <si>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</si>
  <si>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</si>
  <si>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</si>
  <si>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</si>
  <si>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</si>
  <si>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</si>
  <si>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</si>
  <si>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</si>
  <si>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</si>
  <si>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</si>
  <si>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</si>
  <si>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</si>
  <si>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</si>
  <si>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</si>
  <si>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</si>
  <si>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</si>
  <si>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</si>
  <si>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</si>
  <si>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</si>
  <si>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</si>
  <si>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</si>
  <si>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</si>
  <si>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</si>
  <si>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</si>
  <si>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</si>
  <si>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</si>
  <si>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</si>
  <si>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</si>
  <si>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</si>
  <si>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</si>
  <si>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</si>
  <si>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</si>
  <si>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</si>
  <si>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</si>
  <si>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</si>
  <si>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</si>
  <si>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</si>
  <si>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</si>
  <si>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</si>
  <si>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</si>
  <si>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</si>
  <si>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</si>
  <si>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</si>
  <si>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</si>
  <si>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</si>
  <si>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</si>
  <si>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</si>
  <si>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</si>
  <si>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</si>
  <si>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</si>
  <si>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</si>
  <si>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</si>
  <si>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</si>
  <si>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</si>
  <si>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</si>
  <si>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</si>
  <si>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</si>
  <si>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</si>
  <si>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</si>
  <si>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</si>
  <si>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</si>
  <si>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</si>
  <si>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</si>
  <si>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</si>
  <si>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</si>
  <si>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</si>
  <si>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</si>
  <si>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</si>
  <si>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</si>
  <si>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</si>
  <si>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</si>
  <si>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</si>
  <si>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</si>
  <si>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</si>
  <si>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</si>
  <si>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</si>
  <si>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</si>
  <si>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</si>
  <si>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</si>
  <si>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</si>
  <si>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</si>
  <si>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</si>
  <si>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</si>
  <si>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</si>
  <si>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</si>
  <si>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</si>
  <si>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</si>
  <si>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</si>
  <si>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</si>
  <si>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</si>
  <si>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</si>
  <si>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</si>
  <si>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</si>
  <si>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</si>
  <si>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</si>
  <si>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</si>
  <si>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</si>
  <si>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</si>
  <si>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</si>
  <si>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</si>
  <si>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</si>
  <si>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</si>
  <si>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</si>
  <si>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</si>
  <si>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</si>
  <si>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</si>
  <si>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</si>
  <si>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</si>
  <si>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</si>
  <si>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</si>
  <si>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</si>
  <si>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</si>
  <si>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</si>
  <si>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</si>
  <si>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</si>
  <si>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</si>
  <si>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</si>
  <si>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</si>
  <si>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</si>
  <si>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</si>
  <si>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</si>
  <si>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</si>
  <si>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</si>
  <si>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</si>
  <si>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</si>
  <si>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</si>
  <si>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</si>
  <si>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</si>
  <si>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</si>
  <si>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</si>
  <si>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</si>
  <si>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</si>
  <si>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</si>
  <si>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</si>
  <si>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</si>
  <si>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</si>
  <si>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</si>
  <si>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</si>
  <si>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</si>
  <si>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</si>
  <si>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</si>
  <si>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</si>
  <si>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</si>
  <si>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</si>
  <si>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</si>
  <si>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</si>
  <si>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</si>
  <si>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</si>
  <si>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</si>
  <si>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</si>
  <si>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</si>
  <si>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</si>
  <si>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</si>
  <si>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</si>
  <si>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</si>
  <si>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</si>
  <si>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</si>
  <si>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</si>
  <si>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</si>
  <si>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</si>
  <si>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</si>
  <si>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</si>
  <si>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</si>
  <si>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</si>
  <si>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</si>
  <si>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</si>
  <si>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</si>
  <si>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</si>
  <si>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</si>
  <si>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</si>
  <si>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</si>
  <si>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</si>
  <si>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</si>
  <si>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</si>
  <si>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</si>
  <si>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</si>
  <si>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</si>
  <si>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</si>
  <si>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</si>
  <si>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</si>
  <si>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</si>
  <si>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</si>
  <si>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</si>
  <si>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</si>
  <si>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</si>
  <si>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</si>
  <si>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</si>
  <si>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</si>
  <si>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</si>
  <si>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</si>
  <si>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</si>
  <si>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</si>
  <si>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</si>
  <si>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</si>
  <si>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</si>
  <si>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</si>
  <si>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</si>
  <si>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</si>
  <si>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</si>
  <si>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</si>
  <si>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</si>
  <si>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</si>
  <si>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</si>
  <si>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</si>
  <si>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</si>
  <si>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</si>
  <si>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</si>
  <si>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</si>
  <si>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</si>
  <si>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</si>
  <si>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</si>
  <si>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</si>
  <si>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</si>
  <si>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</si>
  <si>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</si>
  <si>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</si>
  <si>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</si>
  <si>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</si>
  <si>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</si>
  <si>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</si>
  <si>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</si>
  <si>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</si>
  <si>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</si>
  <si>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</si>
  <si>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</si>
  <si>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</si>
  <si>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</si>
  <si>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</si>
  <si>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</si>
  <si>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</si>
  <si>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</si>
  <si>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</si>
  <si>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</si>
  <si>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</si>
  <si>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</si>
  <si>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</si>
  <si>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</si>
  <si>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</si>
  <si>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</si>
  <si>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</si>
  <si>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</si>
  <si>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</si>
  <si>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</si>
  <si>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</si>
  <si>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</si>
  <si>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</si>
  <si>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</si>
  <si>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</si>
  <si>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</si>
  <si>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</si>
  <si>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</si>
  <si>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</si>
  <si>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</si>
  <si>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</si>
  <si>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</si>
  <si>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</si>
  <si>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</si>
  <si>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</si>
  <si>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</si>
  <si>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</si>
  <si>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</si>
  <si>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</si>
  <si>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</si>
  <si>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</si>
  <si>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</si>
  <si>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</si>
  <si>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</si>
  <si>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</si>
  <si>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</si>
  <si>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</si>
  <si>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</si>
  <si>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</si>
  <si>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</si>
  <si>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</si>
  <si>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</si>
  <si>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</si>
  <si>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</si>
  <si>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</si>
  <si>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</si>
  <si>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</si>
  <si>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</si>
  <si>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</si>
  <si>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</si>
  <si>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</si>
  <si>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</si>
  <si>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</si>
  <si>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</si>
  <si>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</si>
  <si>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</si>
  <si>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</si>
  <si>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</si>
  <si>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</si>
  <si>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</si>
  <si>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</si>
  <si>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</si>
  <si>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</si>
  <si>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</si>
  <si>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</si>
  <si>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</si>
  <si>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</si>
  <si>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</si>
  <si>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</si>
  <si>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</si>
  <si>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</si>
  <si>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</si>
  <si>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</si>
  <si>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</si>
  <si>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</si>
  <si>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</si>
  <si>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</si>
  <si>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</si>
  <si>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</si>
  <si>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</si>
  <si>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</si>
  <si>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</si>
  <si>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</si>
  <si>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</si>
  <si>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</si>
  <si>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</si>
  <si>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</si>
  <si>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</si>
  <si>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</si>
  <si>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</si>
  <si>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</si>
  <si>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</si>
  <si>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</si>
  <si>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</si>
  <si>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</si>
  <si>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</si>
  <si>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</si>
  <si>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</si>
  <si>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</si>
  <si>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</si>
  <si>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</si>
  <si>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</si>
  <si>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</si>
  <si>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</si>
  <si>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</si>
  <si>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</si>
  <si>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</si>
  <si>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</si>
  <si>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</si>
  <si>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</si>
  <si>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</si>
  <si>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</si>
  <si>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</si>
  <si>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</si>
  <si>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</si>
  <si>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</si>
  <si>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</si>
  <si>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</si>
  <si>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</si>
  <si>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</si>
  <si>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</si>
  <si>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</si>
  <si>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</si>
  <si>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</si>
  <si>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</si>
  <si>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</si>
  <si>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</si>
  <si>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</si>
  <si>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</si>
  <si>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</si>
  <si>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</si>
  <si>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</si>
  <si>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</si>
  <si>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</si>
  <si>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</si>
  <si>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</si>
  <si>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</si>
  <si>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</si>
  <si>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</si>
  <si>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</si>
  <si>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</si>
  <si>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</si>
  <si>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</si>
  <si>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</si>
  <si>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</si>
  <si>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</si>
  <si>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</si>
  <si>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</si>
  <si>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</si>
  <si>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</si>
  <si>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</si>
  <si>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</si>
  <si>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</si>
  <si>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</si>
  <si>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</si>
  <si>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</si>
  <si>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</si>
  <si>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</si>
  <si>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</si>
  <si>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</si>
  <si>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</si>
  <si>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</si>
  <si>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</si>
  <si>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</si>
  <si>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</si>
  <si>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</si>
  <si>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</si>
  <si>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</si>
  <si>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</si>
  <si>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</si>
  <si>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</si>
  <si>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</si>
  <si>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</si>
  <si>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</si>
  <si>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</si>
  <si>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</si>
  <si>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</si>
  <si>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</si>
  <si>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</si>
  <si>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</si>
  <si>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</si>
  <si>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</si>
  <si>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</si>
  <si>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</si>
  <si>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</si>
  <si>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</si>
  <si>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</si>
  <si>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</si>
  <si>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</si>
  <si>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</si>
  <si>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</si>
  <si>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</si>
  <si>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</si>
  <si>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</si>
  <si>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</si>
  <si>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</si>
  <si>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</si>
  <si>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</si>
  <si>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</si>
  <si>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</si>
  <si>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</si>
  <si>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</si>
  <si>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</si>
  <si>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</si>
  <si>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</si>
  <si>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</si>
  <si>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</si>
  <si>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</si>
  <si>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</si>
  <si>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</si>
  <si>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</si>
  <si>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</si>
  <si>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</si>
  <si>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</si>
  <si>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</si>
  <si>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</si>
  <si>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</si>
  <si>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</si>
  <si>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</si>
  <si>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</si>
  <si>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</si>
  <si>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</si>
  <si>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</si>
  <si>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</si>
  <si>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</si>
  <si>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</si>
  <si>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</si>
  <si>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</si>
  <si>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</si>
  <si>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</si>
  <si>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</si>
  <si>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</si>
  <si>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</si>
  <si>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</si>
  <si>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</si>
  <si>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</si>
  <si>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</si>
  <si>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</si>
  <si>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</si>
  <si>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</si>
  <si>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</si>
  <si>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</si>
  <si>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</si>
  <si>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</si>
  <si>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</si>
  <si>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</si>
  <si>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</si>
  <si>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</si>
  <si>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</si>
  <si>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</si>
  <si>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</si>
  <si>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</si>
  <si>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</si>
  <si>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</si>
  <si>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</si>
  <si>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</si>
  <si>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</si>
  <si>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</si>
  <si>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</si>
  <si>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</si>
  <si>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</si>
  <si>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</si>
  <si>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</si>
  <si>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</si>
  <si>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</si>
  <si>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</si>
  <si>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</si>
  <si>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</si>
  <si>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</si>
  <si>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</si>
  <si>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</si>
  <si>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</si>
  <si>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</si>
  <si>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</si>
  <si>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</si>
  <si>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</si>
  <si>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</si>
  <si>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</si>
  <si>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</si>
  <si>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</si>
  <si>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</si>
  <si>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</si>
  <si>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</si>
  <si>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</si>
  <si>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</si>
  <si>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</si>
  <si>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</si>
  <si>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</si>
  <si>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</si>
  <si>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</si>
  <si>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</si>
  <si>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</si>
  <si>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</si>
  <si>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</si>
  <si>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</si>
  <si>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</si>
  <si>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</si>
  <si>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</si>
  <si>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</si>
  <si>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</si>
  <si>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</si>
  <si>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</si>
  <si>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</si>
  <si>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</si>
  <si>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</si>
  <si>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</si>
  <si>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</si>
  <si>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</si>
  <si>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</si>
  <si>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</si>
  <si>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</si>
  <si>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</si>
  <si>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</si>
  <si>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</si>
  <si>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</si>
  <si>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</si>
  <si>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</si>
  <si>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</si>
  <si>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</si>
  <si>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</si>
  <si>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</si>
  <si>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</si>
  <si>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</si>
  <si>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</si>
  <si>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</si>
  <si>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</si>
  <si>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</si>
  <si>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</si>
  <si>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</si>
  <si>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</si>
  <si>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</si>
  <si>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</si>
  <si>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</si>
  <si>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</si>
  <si>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</si>
  <si>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</si>
  <si>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</si>
  <si>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</si>
  <si>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</si>
  <si>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</si>
  <si>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</si>
  <si>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</si>
  <si>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</si>
  <si>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</si>
  <si>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</si>
  <si>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</si>
  <si>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</si>
  <si>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</si>
  <si>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</si>
  <si>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</si>
  <si>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</si>
  <si>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</si>
  <si>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</si>
  <si>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</si>
  <si>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</si>
  <si>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</si>
  <si>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</si>
  <si>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</si>
  <si>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</si>
  <si>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</si>
  <si>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</si>
  <si>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</si>
  <si>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</si>
  <si>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</si>
  <si>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</si>
  <si>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</si>
  <si>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</si>
  <si>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</si>
  <si>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</si>
  <si>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</si>
  <si>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</si>
  <si>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</si>
  <si>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</si>
  <si>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</si>
  <si>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</si>
  <si>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</si>
  <si>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</si>
  <si>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</si>
  <si>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</si>
  <si>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</si>
  <si>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</si>
  <si>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</si>
  <si>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</si>
  <si>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</si>
  <si>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</si>
  <si>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</si>
  <si>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</si>
  <si>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</si>
  <si>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</si>
  <si>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</si>
  <si>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</si>
  <si>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</si>
  <si>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</si>
  <si>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</si>
  <si>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</si>
  <si>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</si>
  <si>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</si>
  <si>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</si>
  <si>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</si>
  <si>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</si>
  <si>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</si>
  <si>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</si>
  <si>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</si>
  <si>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</si>
  <si>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</si>
  <si>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</si>
  <si>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</si>
  <si>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</si>
  <si>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</si>
  <si>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</si>
  <si>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</si>
  <si>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</si>
  <si>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</si>
  <si>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</si>
  <si>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</si>
  <si>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</si>
  <si>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</si>
  <si>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</si>
  <si>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</si>
  <si>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</si>
  <si>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</si>
  <si>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</si>
  <si>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</si>
  <si>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</si>
  <si>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</si>
  <si>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</si>
  <si>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</si>
  <si>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</si>
  <si>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</si>
  <si>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</si>
  <si>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</si>
  <si>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</si>
  <si>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</si>
  <si>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</si>
  <si>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</si>
  <si>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</si>
  <si>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</si>
  <si>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</si>
  <si>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</si>
  <si>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</si>
  <si>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</si>
  <si>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</si>
  <si>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</si>
  <si>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</si>
  <si>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</si>
  <si>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</si>
  <si>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</si>
  <si>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</si>
  <si>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</si>
  <si>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</si>
  <si>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</si>
  <si>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</si>
  <si>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</si>
  <si>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</si>
  <si>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</si>
  <si>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</si>
  <si>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</si>
  <si>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</si>
  <si>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</si>
  <si>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</si>
  <si>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</si>
  <si>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</si>
  <si>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</si>
  <si>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</si>
  <si>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</si>
  <si>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</si>
  <si>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</si>
  <si>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</si>
  <si>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</si>
  <si>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</si>
  <si>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</si>
  <si>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</si>
  <si>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</si>
  <si>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</si>
  <si>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</si>
  <si>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</si>
  <si>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</si>
  <si>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</si>
  <si>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</si>
  <si>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</si>
  <si>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</si>
  <si>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</si>
  <si>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</si>
  <si>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</si>
  <si>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</si>
  <si>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</si>
  <si>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</si>
  <si>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</si>
  <si>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</si>
  <si>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</si>
  <si>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</si>
  <si>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</si>
  <si>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</si>
  <si>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</si>
  <si>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</si>
  <si>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</si>
  <si>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</si>
  <si>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</si>
  <si>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</si>
  <si>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</si>
  <si>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</si>
  <si>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</si>
  <si>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</si>
  <si>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</si>
  <si>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</si>
  <si>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</si>
  <si>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</si>
  <si>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</si>
  <si>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</si>
  <si>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</si>
  <si>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</si>
  <si>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</si>
  <si>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</si>
  <si>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</si>
  <si>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</si>
  <si>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</si>
  <si>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</si>
  <si>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</si>
  <si>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</si>
  <si>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</si>
  <si>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</si>
  <si>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</si>
  <si>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</si>
  <si>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</si>
  <si>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</si>
  <si>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</si>
  <si>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</si>
  <si>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</si>
  <si>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</si>
  <si>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</si>
  <si>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</si>
  <si>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</si>
  <si>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</si>
  <si>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</si>
  <si>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</si>
  <si>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</si>
  <si>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</si>
  <si>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</si>
  <si>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</si>
  <si>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</si>
  <si>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</si>
  <si>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</si>
  <si>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</si>
  <si>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</si>
  <si>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</si>
  <si>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</si>
  <si>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</si>
  <si>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</si>
  <si>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</si>
  <si>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</si>
  <si>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</si>
  <si>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</si>
  <si>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</si>
  <si>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</si>
  <si>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</si>
  <si>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</si>
  <si>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</si>
  <si>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</si>
  <si>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</si>
  <si>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</si>
  <si>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</si>
  <si>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</si>
  <si>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</si>
  <si>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</si>
  <si>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</si>
  <si>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</si>
  <si>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</si>
  <si>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</si>
  <si>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</si>
  <si>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</si>
  <si>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</si>
  <si>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</si>
  <si>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</si>
  <si>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</si>
  <si>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</si>
  <si>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</si>
  <si>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</si>
  <si>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</si>
  <si>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</si>
  <si>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</si>
  <si>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</si>
  <si>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</si>
  <si>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</si>
  <si>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</si>
  <si>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</si>
  <si>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</si>
  <si>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</si>
  <si>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</si>
  <si>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</si>
  <si>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</si>
  <si>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</si>
  <si>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</si>
  <si>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</si>
  <si>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</si>
  <si>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</si>
  <si>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</si>
  <si>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</si>
  <si>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</si>
  <si>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</si>
  <si>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</si>
  <si>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</si>
  <si>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</si>
  <si>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</si>
  <si>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</si>
  <si>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</si>
  <si>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</si>
  <si>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</si>
  <si>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</si>
  <si>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</si>
  <si>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</si>
  <si>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</si>
  <si>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</si>
  <si>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</si>
  <si>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</si>
  <si>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</si>
  <si>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</si>
  <si>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</si>
  <si>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</si>
  <si>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</si>
  <si>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</si>
  <si>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</si>
  <si>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</si>
  <si>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</si>
  <si>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</si>
  <si>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</si>
  <si>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</si>
  <si>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</si>
  <si>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</si>
  <si>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</si>
  <si>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</si>
  <si>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</si>
  <si>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</si>
  <si>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</si>
  <si>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</si>
  <si>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</si>
  <si>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</si>
  <si>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</si>
  <si>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</si>
  <si>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</si>
  <si>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</si>
  <si>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</si>
  <si>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</si>
  <si>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</si>
  <si>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</si>
  <si>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</si>
  <si>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</si>
  <si>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</si>
  <si>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</si>
  <si>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</si>
  <si>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</si>
  <si>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</si>
  <si>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</si>
  <si>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</si>
  <si>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</si>
  <si>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</si>
  <si>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</si>
  <si>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</si>
  <si>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</si>
  <si>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</si>
  <si>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</si>
  <si>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</si>
  <si>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</si>
  <si>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</si>
  <si>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</si>
  <si>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</si>
  <si>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</si>
  <si>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</si>
  <si>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</si>
  <si>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</si>
  <si>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</si>
  <si>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</si>
  <si>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</si>
  <si>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</si>
  <si>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</si>
  <si>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</si>
  <si>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</si>
  <si>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</si>
  <si>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</si>
  <si>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</si>
  <si>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</si>
  <si>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</si>
  <si>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</si>
  <si>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</si>
  <si>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</si>
  <si>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</si>
  <si>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</si>
  <si>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</si>
  <si>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</si>
  <si>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</si>
  <si>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</si>
  <si>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</si>
  <si>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</si>
  <si>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</si>
  <si>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</si>
  <si>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</si>
  <si>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</si>
  <si>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</si>
  <si>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</si>
  <si>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</si>
  <si>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</si>
  <si>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</si>
  <si>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</si>
  <si>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</si>
  <si>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</si>
  <si>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</si>
  <si>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</si>
  <si>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</si>
  <si>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</si>
  <si>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</si>
  <si>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</si>
  <si>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</si>
  <si>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</si>
  <si>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</si>
  <si>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</si>
  <si>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</si>
  <si>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</si>
  <si>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</si>
  <si>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</si>
  <si>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</si>
  <si>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</si>
  <si>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</si>
  <si>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</si>
  <si>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</si>
  <si>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</si>
  <si>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</si>
  <si>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</si>
  <si>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</si>
  <si>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</si>
  <si>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</si>
  <si>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</si>
  <si>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</si>
  <si>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</si>
  <si>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</si>
  <si>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</si>
  <si>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</si>
  <si>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</si>
  <si>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</si>
  <si>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</si>
  <si>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</si>
  <si>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</si>
  <si>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</si>
  <si>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</si>
  <si>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</si>
  <si>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</si>
  <si>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</si>
  <si>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</si>
  <si>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</si>
  <si>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</si>
  <si>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</si>
  <si>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</si>
  <si>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</si>
  <si>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</si>
  <si>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</si>
  <si>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</si>
  <si>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</si>
  <si>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</si>
  <si>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</si>
  <si>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</si>
  <si>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</si>
  <si>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</si>
  <si>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</si>
  <si>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</si>
  <si>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</si>
  <si>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</si>
  <si>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</si>
  <si>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</si>
  <si>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</si>
  <si>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</si>
  <si>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</si>
  <si>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</si>
  <si>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</si>
  <si>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</si>
  <si>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</si>
  <si>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</si>
  <si>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</si>
  <si>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</si>
  <si>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</si>
  <si>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</si>
  <si>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</si>
  <si>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</si>
  <si>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</si>
  <si>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</si>
  <si>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</si>
  <si>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</si>
  <si>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</si>
  <si>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</si>
  <si>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</si>
  <si>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</si>
  <si>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</si>
  <si>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</si>
  <si>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</si>
  <si>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</si>
  <si>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</si>
  <si>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</si>
  <si>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</si>
  <si>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</si>
  <si>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</si>
  <si>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</si>
  <si>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</si>
  <si>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</si>
  <si>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</si>
  <si>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</si>
  <si>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</si>
  <si>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</si>
  <si>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</si>
  <si>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</si>
  <si>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</si>
  <si>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</si>
  <si>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</si>
  <si>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</si>
  <si>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</si>
  <si>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</si>
  <si>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</si>
  <si>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</si>
  <si>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</si>
  <si>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</si>
  <si>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</si>
  <si>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</si>
  <si>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</si>
  <si>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</si>
  <si>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</si>
  <si>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</si>
  <si>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</si>
  <si>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</si>
  <si>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</si>
  <si>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</si>
  <si>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</si>
  <si>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</si>
  <si>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</si>
  <si>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</si>
  <si>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</si>
  <si>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</si>
  <si>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</si>
  <si>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</si>
  <si>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</si>
  <si>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</si>
  <si>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</si>
  <si>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</si>
  <si>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</si>
  <si>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</si>
  <si>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</si>
  <si>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</si>
  <si>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</si>
  <si>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</si>
  <si>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</si>
  <si>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</si>
  <si>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</si>
  <si>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</si>
  <si>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</si>
  <si>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</si>
  <si>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</si>
  <si>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</si>
  <si>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</si>
  <si>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</si>
  <si>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</si>
  <si>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</si>
  <si>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</si>
  <si>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</si>
  <si>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</si>
  <si>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</si>
  <si>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</si>
  <si>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</si>
  <si>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</si>
  <si>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</si>
  <si>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</si>
  <si>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</si>
  <si>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</si>
  <si>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</si>
  <si>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</si>
  <si>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</si>
  <si>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</si>
  <si>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</si>
  <si>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</si>
  <si>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</si>
  <si>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</si>
  <si>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</si>
  <si>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</si>
  <si>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</si>
  <si>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</si>
  <si>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</si>
  <si>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</si>
  <si>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</si>
  <si>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</si>
  <si>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</si>
  <si>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</si>
  <si>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</si>
  <si>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</si>
  <si>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</si>
  <si>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</si>
  <si>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</si>
  <si>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</si>
  <si>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</si>
  <si>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</si>
  <si>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</si>
  <si>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</si>
  <si>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</si>
  <si>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</si>
  <si>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</si>
  <si>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</si>
  <si>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</si>
  <si>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</si>
  <si>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</si>
  <si>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</si>
  <si>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</si>
  <si>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</si>
  <si>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</si>
  <si>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</si>
  <si>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</si>
  <si>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</si>
  <si>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</si>
  <si>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</si>
  <si>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</si>
  <si>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</si>
  <si>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</si>
  <si>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</si>
  <si>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</si>
  <si>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</si>
  <si>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</si>
  <si>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</si>
  <si>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</si>
  <si>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</si>
  <si>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</si>
  <si>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</si>
  <si>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</si>
  <si>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</si>
  <si>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</si>
  <si>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</si>
  <si>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</si>
  <si>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</si>
  <si>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</si>
  <si>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</si>
  <si>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</si>
  <si>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</si>
  <si>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</si>
  <si>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</si>
  <si>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</si>
  <si>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</si>
  <si>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</si>
  <si>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</si>
  <si>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</si>
  <si>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</si>
  <si>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</si>
  <si>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</si>
  <si>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</si>
  <si>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</si>
  <si>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</si>
  <si>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</si>
  <si>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</si>
  <si>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</si>
  <si>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</si>
  <si>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</si>
  <si>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</si>
  <si>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</si>
  <si>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</si>
  <si>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</si>
  <si>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</si>
  <si>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</si>
  <si>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</si>
  <si>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</si>
  <si>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</si>
  <si>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</si>
  <si>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</si>
  <si>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</si>
  <si>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</si>
  <si>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</si>
  <si>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</si>
  <si>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</si>
  <si>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</si>
  <si>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</si>
  <si>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</si>
  <si>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</si>
  <si>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</si>
  <si>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</si>
  <si>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</si>
  <si>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</si>
  <si>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</si>
  <si>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</si>
  <si>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</si>
  <si>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</si>
  <si>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</si>
  <si>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</si>
  <si>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</si>
  <si>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</si>
  <si>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</si>
  <si>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</si>
  <si>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</si>
  <si>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</si>
  <si>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</si>
  <si>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</si>
  <si>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</si>
  <si>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</si>
  <si>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</si>
  <si>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</si>
  <si>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</si>
  <si>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</si>
  <si>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</si>
  <si>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</si>
  <si>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</si>
  <si>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</si>
  <si>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</si>
  <si>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</si>
  <si>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</si>
  <si>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</si>
  <si>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</si>
  <si>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</si>
  <si>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</si>
  <si>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</si>
  <si>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</si>
  <si>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</si>
  <si>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</si>
  <si>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</si>
  <si>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</si>
  <si>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</si>
  <si>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</si>
  <si>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</si>
  <si>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</si>
  <si>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</si>
  <si>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</si>
  <si>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</si>
  <si>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</si>
  <si>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</si>
  <si>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</si>
  <si>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</si>
  <si>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</si>
  <si>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</si>
  <si>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</si>
  <si>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</si>
  <si>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</si>
  <si>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</si>
  <si>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</si>
  <si>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</si>
  <si>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</si>
  <si>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</si>
  <si>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</si>
  <si>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</si>
  <si>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</si>
  <si>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</si>
  <si>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</si>
  <si>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</si>
  <si>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</si>
  <si>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</si>
  <si>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</si>
  <si>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</si>
  <si>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</si>
  <si>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</si>
  <si>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</si>
  <si>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</si>
  <si>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</si>
  <si>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</si>
  <si>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</si>
  <si>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</si>
  <si>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</si>
  <si>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</si>
  <si>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</si>
  <si>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</si>
  <si>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</si>
  <si>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</si>
  <si>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</si>
  <si>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</si>
  <si>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</si>
  <si>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</si>
  <si>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</si>
  <si>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</si>
  <si>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</si>
  <si>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</si>
  <si>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</si>
  <si>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</si>
  <si>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</si>
  <si>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</si>
  <si>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</si>
  <si>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</si>
  <si>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</si>
  <si>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</si>
  <si>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</si>
  <si>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</si>
  <si>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</si>
  <si>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</si>
  <si>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</si>
  <si>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</si>
  <si>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</si>
  <si>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</si>
  <si>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</si>
  <si>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</si>
  <si>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</si>
  <si>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</si>
  <si>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</si>
  <si>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</si>
  <si>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</si>
  <si>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</si>
  <si>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</si>
  <si>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</si>
  <si>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</si>
  <si>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</si>
  <si>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</si>
  <si>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</si>
  <si>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</si>
  <si>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</si>
  <si>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</si>
  <si>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</si>
  <si>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</si>
  <si>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</si>
  <si>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</si>
  <si>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</si>
  <si>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</si>
  <si>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</si>
  <si>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</si>
  <si>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</si>
  <si>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</si>
  <si>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</si>
  <si>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</si>
  <si>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</si>
  <si>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</si>
  <si>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</si>
  <si>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</si>
  <si>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</si>
  <si>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</si>
  <si>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</si>
  <si>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</si>
  <si>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</si>
  <si>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</si>
  <si>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</si>
  <si>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</si>
  <si>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</si>
  <si>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</si>
  <si>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</si>
  <si>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</si>
  <si>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</si>
  <si>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</si>
  <si>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</si>
  <si>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</si>
  <si>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</si>
  <si>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</si>
  <si>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</si>
  <si>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</si>
  <si>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</si>
  <si>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</si>
  <si>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</si>
  <si>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</si>
  <si>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</si>
  <si>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</si>
  <si>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</si>
  <si>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</si>
  <si>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</si>
  <si>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</si>
  <si>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</si>
  <si>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</si>
  <si>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</si>
  <si>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</si>
  <si>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</si>
  <si>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</si>
  <si>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</si>
  <si>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</si>
  <si>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</si>
  <si>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</si>
  <si>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</si>
  <si>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</si>
  <si>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</si>
  <si>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</si>
  <si>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</si>
  <si>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</si>
  <si>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</si>
  <si>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</si>
  <si>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</si>
  <si>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</si>
  <si>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</si>
  <si>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</si>
  <si>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</si>
  <si>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</si>
  <si>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</si>
  <si>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</si>
  <si>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</si>
  <si>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</si>
  <si>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</si>
  <si>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</si>
  <si>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</si>
  <si>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</si>
  <si>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</si>
  <si>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</si>
  <si>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</si>
  <si>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</si>
  <si>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</si>
  <si>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</si>
  <si>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</si>
  <si>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</si>
  <si>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</si>
  <si>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</si>
  <si>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</si>
  <si>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</si>
  <si>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</si>
  <si>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</si>
  <si>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</si>
  <si>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</si>
  <si>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</si>
  <si>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</si>
  <si>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</si>
  <si>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</si>
  <si>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</si>
  <si>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</si>
  <si>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</si>
  <si>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</si>
  <si>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</si>
  <si>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</si>
  <si>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</si>
  <si>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</si>
  <si>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</si>
  <si>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</si>
  <si>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</si>
  <si>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</si>
  <si>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</si>
  <si>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</si>
  <si>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</si>
  <si>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</si>
  <si>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</si>
  <si>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</si>
  <si>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</si>
  <si>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</si>
  <si>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</si>
  <si>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</si>
  <si>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</si>
  <si>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</si>
  <si>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</si>
  <si>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</si>
  <si>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</si>
  <si>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</si>
  <si>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</si>
  <si>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</si>
  <si>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</si>
  <si>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</si>
  <si>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</si>
  <si>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</si>
  <si>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</si>
  <si>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</si>
  <si>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</si>
  <si>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</si>
  <si>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</si>
  <si>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</si>
  <si>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</si>
  <si>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</si>
  <si>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</si>
  <si>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</si>
  <si>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</si>
  <si>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</si>
  <si>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</si>
  <si>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</si>
  <si>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</si>
  <si>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</si>
  <si>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</si>
  <si>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</si>
  <si>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</si>
  <si>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</si>
  <si>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</si>
  <si>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</si>
  <si>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</si>
  <si>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</si>
  <si>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</si>
  <si>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</si>
  <si>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</si>
  <si>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</si>
  <si>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</si>
  <si>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</si>
  <si>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</si>
  <si>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</si>
  <si>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</si>
  <si>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</si>
  <si>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</si>
  <si>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</si>
  <si>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</si>
  <si>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</si>
  <si>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</si>
  <si>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</si>
  <si>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</si>
  <si>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</si>
  <si>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</si>
  <si>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</si>
  <si>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</si>
  <si>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</si>
  <si>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</si>
  <si>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</si>
  <si>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</si>
  <si>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</si>
  <si>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</si>
  <si>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</si>
  <si>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</si>
  <si>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</si>
  <si>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</si>
  <si>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</si>
  <si>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</si>
  <si>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</si>
  <si>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</si>
  <si>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</si>
  <si>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</si>
  <si>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</si>
  <si>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</si>
  <si>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</si>
  <si>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</si>
  <si>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</si>
  <si>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</si>
  <si>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</si>
  <si>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</si>
  <si>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</si>
  <si>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</si>
  <si>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</si>
  <si>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</si>
  <si>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</si>
  <si>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</si>
  <si>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</si>
  <si>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</si>
  <si>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</si>
  <si>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</si>
  <si>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</si>
  <si>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</si>
  <si>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</si>
  <si>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</si>
  <si>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</si>
  <si>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</si>
  <si>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</si>
  <si>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</si>
  <si>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</si>
  <si>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</si>
  <si>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</si>
  <si>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</si>
  <si>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</si>
  <si>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</si>
  <si>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</si>
  <si>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</si>
  <si>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</si>
  <si>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</si>
  <si>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</si>
  <si>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</si>
  <si>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</si>
  <si>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</si>
  <si>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</si>
  <si>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</si>
  <si>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</si>
  <si>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</si>
  <si>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</si>
  <si>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</si>
  <si>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</si>
  <si>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</si>
  <si>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</si>
  <si>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</si>
  <si>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</si>
  <si>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</si>
  <si>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</si>
  <si>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</si>
  <si>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</si>
  <si>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</si>
  <si>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</si>
  <si>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</si>
  <si>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</si>
  <si>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</si>
  <si>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</si>
  <si>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</si>
  <si>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</si>
  <si>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</si>
  <si>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</si>
  <si>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</si>
  <si>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</si>
  <si>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</si>
  <si>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</si>
  <si>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</si>
  <si>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</si>
  <si>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</si>
  <si>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</si>
  <si>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</si>
  <si>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</si>
  <si>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</si>
  <si>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</si>
  <si>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</si>
  <si>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</si>
  <si>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</si>
  <si>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</si>
  <si>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</si>
  <si>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</si>
  <si>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</si>
  <si>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</si>
  <si>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</si>
  <si>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</si>
  <si>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</si>
  <si>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</si>
  <si>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</si>
  <si>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</si>
  <si>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</si>
  <si>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</si>
  <si>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</si>
  <si>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</si>
  <si>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</si>
  <si>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</si>
  <si>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</si>
  <si>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</si>
  <si>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</si>
  <si>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</si>
  <si>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</si>
  <si>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</si>
  <si>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</si>
  <si>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</si>
  <si>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</si>
  <si>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</si>
  <si>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</si>
  <si>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</si>
  <si>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</si>
  <si>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</si>
  <si>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</si>
  <si>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</si>
  <si>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</si>
  <si>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</si>
  <si>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</si>
  <si>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</si>
  <si>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</si>
  <si>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</si>
  <si>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</si>
  <si>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</si>
  <si>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</si>
  <si>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</si>
  <si>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</si>
  <si>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</si>
  <si>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</si>
  <si>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</si>
  <si>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</si>
  <si>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</si>
  <si>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</si>
  <si>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</si>
  <si>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</si>
  <si>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</si>
  <si>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</si>
  <si>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</si>
  <si>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</si>
  <si>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</si>
  <si>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</si>
  <si>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</si>
  <si>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</si>
  <si>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</si>
  <si>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</si>
  <si>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</si>
  <si>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</si>
  <si>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</si>
  <si>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</si>
  <si>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</si>
  <si>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</si>
  <si>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</si>
  <si>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</si>
  <si>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</si>
  <si>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</si>
  <si>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</si>
  <si>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</si>
  <si>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</si>
  <si>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</si>
  <si>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</si>
  <si>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</si>
  <si>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</si>
  <si>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</si>
  <si>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</si>
  <si>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</si>
  <si>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</si>
  <si>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</si>
  <si>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</si>
  <si>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</si>
  <si>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</si>
  <si>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</si>
  <si>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</si>
  <si>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</si>
  <si>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</si>
  <si>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</si>
  <si>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</si>
  <si>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</si>
  <si>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</si>
  <si>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</si>
  <si>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</si>
  <si>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</si>
  <si>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</si>
  <si>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</si>
  <si>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</si>
  <si>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</si>
  <si>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</si>
  <si>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</si>
  <si>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</si>
  <si>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</si>
  <si>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</si>
  <si>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</si>
  <si>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</si>
  <si>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</si>
  <si>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</si>
  <si>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</si>
  <si>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</si>
  <si>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</si>
  <si>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</si>
  <si>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</si>
  <si>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</si>
  <si>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</si>
  <si>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</si>
  <si>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</si>
  <si>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</si>
  <si>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</si>
  <si>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</si>
  <si>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</si>
  <si>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</si>
  <si>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</si>
  <si>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</si>
  <si>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</si>
  <si>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</si>
  <si>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</si>
  <si>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</si>
  <si>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</si>
  <si>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</si>
  <si>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</si>
  <si>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</si>
  <si>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</si>
  <si>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</si>
  <si>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</si>
  <si>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</si>
  <si>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</si>
  <si>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</si>
  <si>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</si>
  <si>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</si>
  <si>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</si>
  <si>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</si>
  <si>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</si>
  <si>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</si>
  <si>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</si>
  <si>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</si>
  <si>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</si>
  <si>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</si>
  <si>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</si>
  <si>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</si>
  <si>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</si>
  <si>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</si>
  <si>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</si>
  <si>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</si>
  <si>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</si>
  <si>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</si>
  <si>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</si>
  <si>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</si>
  <si>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</si>
  <si>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</si>
  <si>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</si>
  <si>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</si>
  <si>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</si>
  <si>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</si>
  <si>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</si>
  <si>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</si>
  <si>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</si>
  <si>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</si>
  <si>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</si>
  <si>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</si>
  <si>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</si>
  <si>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</si>
  <si>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</si>
  <si>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</si>
  <si>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</si>
  <si>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</si>
  <si>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</si>
  <si>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</si>
  <si>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</si>
  <si>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</si>
  <si>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</si>
  <si>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</si>
  <si>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</si>
  <si>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</si>
  <si>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</si>
  <si>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</si>
  <si>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</si>
  <si>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</si>
  <si>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</si>
  <si>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</si>
  <si>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</si>
  <si>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</si>
  <si>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</si>
  <si>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</si>
  <si>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</si>
  <si>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</si>
  <si>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</si>
  <si>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</si>
  <si>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</si>
  <si>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</si>
  <si>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</si>
  <si>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</si>
  <si>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</si>
  <si>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</si>
  <si>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</si>
  <si>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</si>
  <si>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</si>
  <si>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</si>
  <si>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</si>
  <si>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</si>
  <si>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</si>
  <si>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</si>
  <si>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</si>
  <si>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</si>
  <si>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Fisk Alloy, Inc.</t>
  </si>
  <si>
    <t>32470</t>
  </si>
  <si>
    <t>iPoint Conflict Minerals Platform</t>
  </si>
  <si>
    <t>10 Thomas Road North, Hawthorne, NJ 07507</t>
  </si>
  <si>
    <t>Joe Rodriguez</t>
  </si>
  <si>
    <t>joe.rodriguez@fiskalloy.com</t>
  </si>
  <si>
    <t>973-825-8466</t>
  </si>
  <si>
    <t>Jim Mentekidids</t>
  </si>
  <si>
    <t>VP Production Management</t>
  </si>
  <si>
    <t>jim.mentekidis@fiskalloy.com</t>
  </si>
  <si>
    <t>973-825-8439</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</si>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</sst>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e.rodriguez@fiskallo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im.mentekidis@fiskallo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7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75">
      <c r="A13" s="373"/>
      <c r="B13" s="275">
        <v>1</v>
      </c>
      <c r="C13" s="276" t="s">
        <v>1046</v>
      </c>
      <c r="D13" s="277" t="s">
        <v>836</v>
      </c>
      <c r="E13" s="278" t="s">
        <v>813</v>
      </c>
      <c r="F13" s="278"/>
      <c r="G13" s="24"/>
    </row>
    <row r="14" spans="1:7" ht="56.25">
      <c r="A14" s="373"/>
      <c r="B14" s="275">
        <v>2</v>
      </c>
      <c r="C14" s="276" t="s">
        <v>1046</v>
      </c>
      <c r="D14" s="277" t="s">
        <v>983</v>
      </c>
      <c r="E14" s="278" t="s">
        <v>513</v>
      </c>
      <c r="F14" s="278" t="s">
        <v>514</v>
      </c>
      <c r="G14" s="24"/>
    </row>
    <row r="15" spans="1:7" ht="89.1"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099999999999994"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50000000000001" customHeight="1">
      <c r="A28" s="373"/>
      <c r="B28" s="362"/>
      <c r="C28" s="359"/>
      <c r="D28" s="380"/>
      <c r="E28" s="371"/>
      <c r="F28" s="280" t="s">
        <v>56</v>
      </c>
      <c r="G28" s="24"/>
    </row>
    <row r="29" spans="1:7" ht="74.45" customHeight="1">
      <c r="A29" s="373"/>
      <c r="B29" s="362"/>
      <c r="C29" s="359"/>
      <c r="D29" s="380"/>
      <c r="E29" s="371"/>
      <c r="F29" s="280" t="s">
        <v>57</v>
      </c>
      <c r="G29" s="24"/>
    </row>
    <row r="30" spans="1:7" ht="62.4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5" customHeight="1">
      <c r="A33" s="373"/>
      <c r="B33" s="362"/>
      <c r="C33" s="359"/>
      <c r="D33" s="380"/>
      <c r="E33" s="371"/>
      <c r="F33" s="280" t="s">
        <v>61</v>
      </c>
      <c r="G33" s="24"/>
    </row>
    <row r="34" spans="1:7" ht="89.1" customHeight="1">
      <c r="A34" s="373"/>
      <c r="B34" s="362"/>
      <c r="C34" s="359"/>
      <c r="D34" s="380"/>
      <c r="E34" s="371"/>
      <c r="F34" s="280" t="s">
        <v>63</v>
      </c>
      <c r="G34" s="24"/>
    </row>
    <row r="35" spans="1:7" ht="29.1" customHeight="1">
      <c r="A35" s="373"/>
      <c r="B35" s="362"/>
      <c r="C35" s="359"/>
      <c r="D35" s="380"/>
      <c r="E35" s="371"/>
      <c r="F35" s="280" t="s">
        <v>64</v>
      </c>
      <c r="G35" s="24"/>
    </row>
    <row r="36" spans="1:7" ht="147">
      <c r="A36" s="373"/>
      <c r="B36" s="363"/>
      <c r="C36" s="360"/>
      <c r="D36" s="381"/>
      <c r="E36" s="372"/>
      <c r="F36" s="282" t="s">
        <v>65</v>
      </c>
      <c r="G36" s="24"/>
    </row>
    <row r="37" spans="1:7" ht="157.5">
      <c r="A37" s="373"/>
      <c r="B37" s="281">
        <v>3.01</v>
      </c>
      <c r="C37" s="283" t="s">
        <v>66</v>
      </c>
      <c r="D37" s="277" t="s">
        <v>2155</v>
      </c>
      <c r="E37" s="284" t="s">
        <v>1282</v>
      </c>
      <c r="F37" s="285" t="s">
        <v>1384</v>
      </c>
      <c r="G37" s="24"/>
    </row>
    <row r="38" spans="1:7" ht="146.25">
      <c r="A38" s="373"/>
      <c r="B38" s="281">
        <v>3.02</v>
      </c>
      <c r="C38" s="283" t="s">
        <v>1314</v>
      </c>
      <c r="D38" s="277" t="s">
        <v>2156</v>
      </c>
      <c r="E38" s="284" t="s">
        <v>1329</v>
      </c>
      <c r="F38" s="285" t="s">
        <v>1385</v>
      </c>
      <c r="G38" s="24"/>
    </row>
    <row r="39" spans="1:7" ht="112.5">
      <c r="A39" s="373"/>
      <c r="B39" s="286">
        <v>4</v>
      </c>
      <c r="C39" s="287" t="s">
        <v>1480</v>
      </c>
      <c r="D39" s="277" t="s">
        <v>2157</v>
      </c>
      <c r="E39" s="276" t="s">
        <v>2104</v>
      </c>
      <c r="F39" s="276" t="s">
        <v>1481</v>
      </c>
      <c r="G39" s="24"/>
    </row>
    <row r="40" spans="1:7" ht="67.5">
      <c r="A40" s="373"/>
      <c r="B40" s="281">
        <v>4.01</v>
      </c>
      <c r="C40" s="287" t="s">
        <v>1480</v>
      </c>
      <c r="D40" s="277" t="s">
        <v>2159</v>
      </c>
      <c r="E40" s="276" t="s">
        <v>2116</v>
      </c>
      <c r="F40" s="276" t="s">
        <v>2120</v>
      </c>
      <c r="G40" s="24"/>
    </row>
    <row r="41" spans="1:7" ht="67.5">
      <c r="A41" s="373"/>
      <c r="B41" s="281" t="s">
        <v>2146</v>
      </c>
      <c r="C41" s="287" t="s">
        <v>1480</v>
      </c>
      <c r="D41" s="277" t="s">
        <v>2158</v>
      </c>
      <c r="E41" s="276" t="s">
        <v>2149</v>
      </c>
      <c r="F41" s="276" t="s">
        <v>2147</v>
      </c>
      <c r="G41" s="24"/>
    </row>
    <row r="42" spans="1:7" ht="67.5">
      <c r="A42" s="373"/>
      <c r="B42" s="281" t="s">
        <v>2173</v>
      </c>
      <c r="C42" s="287" t="s">
        <v>1480</v>
      </c>
      <c r="D42" s="277" t="s">
        <v>2178</v>
      </c>
      <c r="E42" s="276" t="s">
        <v>2148</v>
      </c>
      <c r="F42" s="276" t="s">
        <v>2174</v>
      </c>
      <c r="G42" s="24"/>
    </row>
    <row r="43" spans="1:7" ht="191.25">
      <c r="A43" s="373"/>
      <c r="B43" s="288">
        <v>4.0999999999999996</v>
      </c>
      <c r="C43" s="287" t="s">
        <v>2177</v>
      </c>
      <c r="D43" s="289">
        <v>42867</v>
      </c>
      <c r="E43" s="290" t="s">
        <v>2180</v>
      </c>
      <c r="F43" s="276" t="s">
        <v>2179</v>
      </c>
      <c r="G43" s="24"/>
    </row>
    <row r="44" spans="1:7" ht="112.5">
      <c r="A44" s="373"/>
      <c r="B44" s="288">
        <v>4.2</v>
      </c>
      <c r="C44" s="287" t="s">
        <v>2177</v>
      </c>
      <c r="D44" s="289">
        <v>42704</v>
      </c>
      <c r="E44" s="290" t="s">
        <v>2369</v>
      </c>
      <c r="F44" s="276" t="s">
        <v>2344</v>
      </c>
      <c r="G44" s="24"/>
    </row>
    <row r="45" spans="1:7" ht="213.75">
      <c r="A45" s="373"/>
      <c r="B45" s="291">
        <v>5</v>
      </c>
      <c r="C45" s="287" t="s">
        <v>2177</v>
      </c>
      <c r="D45" s="289">
        <v>42867</v>
      </c>
      <c r="E45" s="290" t="s">
        <v>12256</v>
      </c>
      <c r="F45" s="276" t="s">
        <v>11978</v>
      </c>
      <c r="G45" s="24"/>
    </row>
    <row r="46" spans="1:7" ht="56.25">
      <c r="A46" s="373"/>
      <c r="B46" s="288">
        <v>5.01</v>
      </c>
      <c r="C46" s="287" t="s">
        <v>2177</v>
      </c>
      <c r="D46" s="289">
        <v>42907</v>
      </c>
      <c r="E46" s="290" t="s">
        <v>14886</v>
      </c>
      <c r="F46" s="276" t="s">
        <v>11978</v>
      </c>
      <c r="G46" s="24"/>
    </row>
    <row r="47" spans="1:7" ht="101.25">
      <c r="A47" s="373"/>
      <c r="B47" s="288">
        <v>5.0999999999999996</v>
      </c>
      <c r="C47" s="287" t="s">
        <v>2177</v>
      </c>
      <c r="D47" s="289">
        <v>43070</v>
      </c>
      <c r="E47" s="290" t="s">
        <v>12456</v>
      </c>
      <c r="F47" s="276" t="s">
        <v>12457</v>
      </c>
      <c r="G47" s="24"/>
    </row>
    <row r="48" spans="1:7" ht="90">
      <c r="A48" s="373"/>
      <c r="B48" s="288">
        <v>5.1100000000000003</v>
      </c>
      <c r="C48" s="287" t="s">
        <v>12684</v>
      </c>
      <c r="D48" s="289">
        <v>43217</v>
      </c>
      <c r="E48" s="290" t="s">
        <v>12786</v>
      </c>
      <c r="F48" s="276" t="s">
        <v>12711</v>
      </c>
      <c r="G48" s="24"/>
    </row>
    <row r="49" spans="1:7" ht="90">
      <c r="A49" s="373"/>
      <c r="B49" s="288">
        <v>5.12</v>
      </c>
      <c r="C49" s="287" t="s">
        <v>12684</v>
      </c>
      <c r="D49" s="289">
        <v>43581</v>
      </c>
      <c r="E49" s="290" t="s">
        <v>12786</v>
      </c>
      <c r="F49" s="276" t="s">
        <v>13315</v>
      </c>
      <c r="G49" s="24"/>
    </row>
    <row r="50" spans="1:7" ht="112.5">
      <c r="A50" s="373"/>
      <c r="B50" s="291">
        <v>6</v>
      </c>
      <c r="C50" s="287" t="s">
        <v>12684</v>
      </c>
      <c r="D50" s="289">
        <v>43964</v>
      </c>
      <c r="E50" s="290" t="s">
        <v>13527</v>
      </c>
      <c r="F50" s="276" t="s">
        <v>13318</v>
      </c>
      <c r="G50" s="24"/>
    </row>
    <row r="51" spans="1:7" ht="56.25">
      <c r="A51" s="373"/>
      <c r="B51" s="288">
        <v>6.01</v>
      </c>
      <c r="C51" s="287" t="s">
        <v>12684</v>
      </c>
      <c r="D51" s="289">
        <v>43970</v>
      </c>
      <c r="E51" s="290" t="s">
        <v>14887</v>
      </c>
      <c r="F51" s="290" t="s">
        <v>13318</v>
      </c>
      <c r="G51" s="24"/>
    </row>
    <row r="52" spans="1:7" ht="56.25">
      <c r="A52" s="373"/>
      <c r="B52" s="288">
        <v>6.1</v>
      </c>
      <c r="C52" s="287" t="s">
        <v>12684</v>
      </c>
      <c r="D52" s="289">
        <v>44314</v>
      </c>
      <c r="E52" s="290" t="s">
        <v>14880</v>
      </c>
      <c r="F52" s="290" t="s">
        <v>14487</v>
      </c>
      <c r="G52" s="24"/>
    </row>
    <row r="53" spans="1:7" ht="56.25">
      <c r="A53" s="373"/>
      <c r="B53" s="288">
        <v>6.2</v>
      </c>
      <c r="C53" s="287" t="s">
        <v>12684</v>
      </c>
      <c r="D53" s="289">
        <v>44678</v>
      </c>
      <c r="E53" s="290" t="s">
        <v>14880</v>
      </c>
      <c r="F53" s="290" t="s">
        <v>14879</v>
      </c>
      <c r="G53" s="24"/>
    </row>
    <row r="54" spans="1:7" ht="56.25">
      <c r="A54" s="373"/>
      <c r="B54" s="288">
        <v>6.21</v>
      </c>
      <c r="C54" s="287" t="s">
        <v>12684</v>
      </c>
      <c r="D54" s="289">
        <v>44687</v>
      </c>
      <c r="E54" s="290" t="s">
        <v>14888</v>
      </c>
      <c r="F54" s="290" t="s">
        <v>14879</v>
      </c>
      <c r="G54" s="24"/>
    </row>
    <row r="55" spans="1:7" ht="56.25">
      <c r="A55" s="373"/>
      <c r="B55" s="288">
        <v>6.22</v>
      </c>
      <c r="C55" s="287" t="s">
        <v>12684</v>
      </c>
      <c r="D55" s="292">
        <v>44692</v>
      </c>
      <c r="E55" s="290" t="s">
        <v>14887</v>
      </c>
      <c r="F55" s="290" t="s">
        <v>14879</v>
      </c>
      <c r="G55" s="24"/>
    </row>
    <row r="56" spans="1:7" ht="90">
      <c r="A56" s="373"/>
      <c r="B56" s="291">
        <v>6.3</v>
      </c>
      <c r="C56" s="287" t="s">
        <v>12684</v>
      </c>
      <c r="D56" s="292">
        <v>45051</v>
      </c>
      <c r="E56" s="290" t="s">
        <v>15144</v>
      </c>
      <c r="F56" s="290" t="s">
        <v>14925</v>
      </c>
      <c r="G56" s="24"/>
    </row>
    <row r="57" spans="1:7" ht="56.25">
      <c r="A57" s="373"/>
      <c r="B57" s="288">
        <v>6.31</v>
      </c>
      <c r="C57" s="287" t="s">
        <v>12684</v>
      </c>
      <c r="D57" s="292">
        <v>45072</v>
      </c>
      <c r="E57" s="290" t="s">
        <v>15146</v>
      </c>
      <c r="F57" s="290" t="s">
        <v>14925</v>
      </c>
      <c r="G57" s="24"/>
    </row>
    <row r="58" spans="1:7" ht="56.25">
      <c r="A58" s="373"/>
      <c r="B58" s="291">
        <v>6.4</v>
      </c>
      <c r="C58" s="287" t="s">
        <v>12684</v>
      </c>
      <c r="D58" s="292">
        <v>45408</v>
      </c>
      <c r="E58" s="290" t="s">
        <v>15148</v>
      </c>
      <c r="F58" s="290" t="s">
        <v>15147</v>
      </c>
      <c r="G58" s="24"/>
    </row>
    <row r="59" spans="1:7" ht="56.25">
      <c r="A59" s="373"/>
      <c r="B59" s="291">
        <v>6.5</v>
      </c>
      <c r="C59" s="287" t="s">
        <v>12684</v>
      </c>
      <c r="D59" s="292">
        <v>45772</v>
      </c>
      <c r="E59" s="290" t="s">
        <v>15217</v>
      </c>
      <c r="F59" s="290" t="s">
        <v>15259</v>
      </c>
      <c r="G59" s="24"/>
    </row>
    <row r="60" spans="1:7" ht="90">
      <c r="A60" s="373"/>
      <c r="B60" s="291">
        <v>6.6</v>
      </c>
      <c r="C60" s="287" t="s">
        <v>12684</v>
      </c>
      <c r="D60" s="292">
        <v>46129</v>
      </c>
      <c r="E60" s="290" t="s">
        <v>15870</v>
      </c>
      <c r="F60" s="293" t="s">
        <v>15352</v>
      </c>
      <c r="G60" s="24"/>
    </row>
    <row r="61" spans="1:7" ht="13.5" thickBot="1">
      <c r="A61" s="374"/>
      <c r="B61" s="375" t="str">
        <f ca="1">OFFSET(L!$C$1,MATCH("General"&amp;"Cpy",L!$A:$A,0)-1,SL,,)</f>
        <v>© 2026 Responsible Minerals Initiative. All rights reserved.</v>
      </c>
      <c r="C61" s="375"/>
      <c r="D61" s="375"/>
      <c r="E61" s="375"/>
      <c r="F61" s="37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3ECE896-6158-4269-A803-208C0DDC7BB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E2A6BB9-B04F-4639-9AB9-985B4EEB843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15880</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t="s">
        <v>15881</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15882</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15883</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15884</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15885</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15886</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15887</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15888</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15889</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46129</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474</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15890</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18" t="s">
        <v>15890</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474</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25"/>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474</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474</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474</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BE40596-28B8-4614-9414-ADD2B6F25605}"/>
    <hyperlink ref="D20" r:id="rId4" xr:uid="{11A6E12B-E02C-4F43-B9F8-30831B75420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6" sqref="C6"/>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1087</v>
      </c>
      <c r="C5" s="170" t="s">
        <v>873</v>
      </c>
      <c r="D5" s="213"/>
      <c r="E5" s="166" t="str">
        <f ca="1">IF(ISERROR($V5),"",OFFSET('Smelter Look-up'!$D$4,$V5-4,0)&amp;"")</f>
        <v>CANADA</v>
      </c>
      <c r="F5" s="166" t="str">
        <f ca="1">IF(ISERROR($V5),"",OFFSET('Smelter Look-up'!$E$4,$V5-4,0))</f>
        <v>CID001534</v>
      </c>
      <c r="G5" s="166" t="str">
        <f ca="1">IF(C5=$X$4,IF(ISERROR($V5),"Enter smelter details","RMI"),IF(ISERROR($V5),"",OFFSET('Smelter Look-up'!$F$4,$V5-4,0)))</f>
        <v>RMI</v>
      </c>
      <c r="H5" s="167">
        <f ca="1">IF(ISERROR($V5),"",OFFSET('Smelter Look-up'!$G$4,$V5-4,0))</f>
        <v>0</v>
      </c>
      <c r="I5" s="168" t="str">
        <f ca="1">IF(ISERROR($V5),"",OFFSET('Smelter Look-up'!$H$4,$V5-4,0))</f>
        <v>Ottawa</v>
      </c>
      <c r="J5" s="168" t="str">
        <f ca="1">IF(ISERROR($V5),"",OFFSET('Smelter Look-up'!$I$4,$V5-4,0))</f>
        <v>Ontario</v>
      </c>
      <c r="K5" s="207"/>
      <c r="L5" s="207"/>
      <c r="M5" s="207"/>
      <c r="N5" s="207"/>
      <c r="O5" s="207"/>
      <c r="P5" s="169"/>
      <c r="Q5" s="208"/>
      <c r="R5" s="166" t="str">
        <f ca="1">IF(ISERROR($V5),"",OFFSET('Smelter Look-up'!$C$4,$V5-4,0)&amp;"")</f>
        <v>Royal Canadian Mint</v>
      </c>
      <c r="S5" s="165" t="str">
        <f ca="1">IF(B5="","",IF(ISERROR(MATCH($E5,CL,0)),"Unknown",INDIRECT("'C'!$A$"&amp;MATCH($E5,CL,0)+1)))</f>
        <v>CA</v>
      </c>
      <c r="T5" s="165" t="str">
        <f ca="1">IF(B5="","",IF(ISERROR(MATCH($J5,SorP!$B$1:$B$6261,0)),"",INDIRECT("'SorP'!$A$"&amp;MATCH($S5&amp;$J5,SorP!C:C,0))))</f>
        <v>CA-ON</v>
      </c>
      <c r="U5" s="185"/>
      <c r="V5" s="209">
        <f>IF(C5="",NA(),IF(OR(C5="Smelter not listed",C5="Smelter not yet identified"),MATCH($B5&amp;$D5,'Smelter Look-up'!$J:$J,0),MATCH($B5&amp;$C5,'Smelter Look-up'!$J:$J,0)))</f>
        <v>245</v>
      </c>
      <c r="X5" s="210">
        <f t="shared" ref="X5" ca="1" si="0">IF(AND(C5="Smelter not listed",OR(LEN(D5)=0,LEN(E5)=0)),1,0)</f>
        <v>0</v>
      </c>
      <c r="AB5" s="211" t="str">
        <f t="shared" ref="AB5" si="1">B5&amp;C5</f>
        <v>GoldRoyal Canadian Mint</v>
      </c>
    </row>
    <row r="6" spans="1:34" s="210" customFormat="1" ht="20.100000000000001" customHeight="1">
      <c r="A6" s="245"/>
      <c r="B6" s="166" t="s">
        <v>1088</v>
      </c>
      <c r="C6" s="170" t="s">
        <v>992</v>
      </c>
      <c r="D6" s="213"/>
      <c r="E6" s="166" t="str">
        <f ca="1">IF(ISERROR($V6),"",OFFSET('Smelter Look-up'!$D$4,$V6-4,0)&amp;"")</f>
        <v>PERU</v>
      </c>
      <c r="F6" s="166" t="str">
        <f ca="1">IF(ISERROR($V6),"",OFFSET('Smelter Look-up'!$E$4,$V6-4,0))</f>
        <v>CID001182</v>
      </c>
      <c r="G6" s="166" t="str">
        <f ca="1">IF(C6=$X$4,IF(ISERROR($V6),"Enter smelter details","RMI"),IF(ISERROR($V6),"",OFFSET('Smelter Look-up'!$F$4,$V6-4,0)))</f>
        <v>RMI</v>
      </c>
      <c r="H6" s="167">
        <f ca="1">IF(ISERROR($V6),"",OFFSET('Smelter Look-up'!$G$4,$V6-4,0))</f>
        <v>0</v>
      </c>
      <c r="I6" s="168" t="str">
        <f ca="1">IF(ISERROR($V6),"",OFFSET('Smelter Look-up'!$H$4,$V6-4,0))</f>
        <v>Paracas</v>
      </c>
      <c r="J6" s="168" t="str">
        <f ca="1">IF(ISERROR($V6),"",OFFSET('Smelter Look-up'!$I$4,$V6-4,0))</f>
        <v>Ika</v>
      </c>
      <c r="K6" s="207"/>
      <c r="L6" s="207"/>
      <c r="M6" s="207"/>
      <c r="N6" s="207"/>
      <c r="O6" s="207"/>
      <c r="P6" s="169"/>
      <c r="Q6" s="208"/>
      <c r="R6" s="166" t="str">
        <f ca="1">IF(ISERROR($V6),"",OFFSET('Smelter Look-up'!$C$4,$V6-4,0)&amp;"")</f>
        <v>Minsur</v>
      </c>
      <c r="S6" s="165" t="str">
        <f t="shared" ref="S6:S37" ca="1" si="2">IF(B6="","",IF(ISERROR(MATCH($E6,CL,0)),"Unknown",INDIRECT("'C'!$A$"&amp;MATCH($E6,CL,0)+1)))</f>
        <v>PE</v>
      </c>
      <c r="T6" s="165" t="str">
        <f ca="1">IF(B6="","",IF(ISERROR(MATCH($J6,SorP!$B$1:$B$6261,0)),"",INDIRECT("'SorP'!$A$"&amp;MATCH($S6&amp;$J6,SorP!C:C,0))))</f>
        <v>PE-ICA</v>
      </c>
      <c r="U6" s="185"/>
      <c r="V6" s="209">
        <f>IF(C6="",NA(),IF(OR(C6="Smelter not listed",C6="Smelter not yet identified"),MATCH($B6&amp;$D6,'Smelter Look-up'!$J:$J,0),MATCH($B6&amp;$C6,'Smelter Look-up'!$J:$J,0)))</f>
        <v>503</v>
      </c>
      <c r="X6" s="210">
        <f t="shared" ref="X6:X37" ca="1" si="3">IF(AND(C6="Smelter not listed",OR(LEN(D6)=0,LEN(E6)=0)),1,0)</f>
        <v>0</v>
      </c>
      <c r="AB6" s="211" t="str">
        <f t="shared" ref="AB6:AB37" si="4">B6&amp;C6</f>
        <v>TinMinsur</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F432A7B-53A1-4C53-8815-E8C1188A8A1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Fisk Alloy,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Joe Rodriguez</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joe.rodriguez@fiskalloy.com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973-825-8466</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Jim Mentekidids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jim.mentekidis@fiskalloy.com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46129</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No</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No</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No</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Rodriguez, Joe</cp:lastModifiedBy>
  <cp:lastPrinted>2015-04-21T20:47:43Z</cp:lastPrinted>
  <dcterms:created xsi:type="dcterms:W3CDTF">2010-06-21T21:00:23Z</dcterms:created>
  <dcterms:modified xsi:type="dcterms:W3CDTF">2026-07-06T10:40:01Z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